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m\Patterson Advisory G Dropbox\Jim Patterson\The Sunday Brief\2 Nov 2025\"/>
    </mc:Choice>
  </mc:AlternateContent>
  <xr:revisionPtr revIDLastSave="0" documentId="8_{F098C04F-0BA6-4465-9F55-71E235E72960}" xr6:coauthVersionLast="47" xr6:coauthVersionMax="47" xr10:uidLastSave="{00000000-0000-0000-0000-000000000000}"/>
  <bookViews>
    <workbookView xWindow="-96" yWindow="-96" windowWidth="23232" windowHeight="13872" xr2:uid="{98B39510-50F1-4DD2-A8A7-71D97E346947}"/>
  </bookViews>
  <sheets>
    <sheet name="summary" sheetId="1" r:id="rId1"/>
    <sheet name="net debt fab five" sheetId="2" r:id="rId2"/>
    <sheet name="Mobile net adds cable" sheetId="5" r:id="rId3"/>
    <sheet name="Schedule 1" sheetId="6" r:id="rId4"/>
    <sheet name="Earnings Q2" sheetId="8" r:id="rId5"/>
    <sheet name="fastest growing metro areas" sheetId="10" r:id="rId6"/>
    <sheet name="employment data" sheetId="9" r:id="rId7"/>
    <sheet name="10 yr return 2013-2023" sheetId="3" r:id="rId8"/>
    <sheet name="10 yr return 2014-2024" sheetId="7" r:id="rId9"/>
  </sheets>
  <definedNames>
    <definedName name="_xlnm._FilterDatabase" localSheetId="7" hidden="1">'10 yr return 2013-2023'!$A$4:$F$4</definedName>
    <definedName name="_xlnm._FilterDatabase" localSheetId="4" hidden="1">'Earnings Q2'!$A$4:$E$4</definedName>
    <definedName name="_xlnm.Print_Area" localSheetId="0">summary!$B$1:$AP$34</definedName>
    <definedName name="_xlnm.Print_Titles" localSheetId="0">summary!$B:$C,summary!$1:$4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X20" i="1" l="1"/>
  <c r="H151" i="2"/>
  <c r="G151" i="2"/>
  <c r="D151" i="2"/>
  <c r="H150" i="2"/>
  <c r="G150" i="2"/>
  <c r="D150" i="2"/>
  <c r="H149" i="2"/>
  <c r="G149" i="2"/>
  <c r="D149" i="2"/>
  <c r="H148" i="2"/>
  <c r="G148" i="2"/>
  <c r="D148" i="2"/>
  <c r="H147" i="2"/>
  <c r="G147" i="2"/>
  <c r="E147" i="2"/>
  <c r="D147" i="2"/>
  <c r="C147" i="2"/>
  <c r="BW20" i="1" l="1"/>
  <c r="AP25" i="1"/>
  <c r="AP24" i="1"/>
  <c r="AP23" i="1"/>
  <c r="AP22" i="1"/>
  <c r="AP21" i="1"/>
  <c r="AP12" i="1"/>
  <c r="AP11" i="1"/>
  <c r="AP10" i="1"/>
  <c r="AP9" i="1"/>
  <c r="AP8" i="1"/>
  <c r="BV20" i="1"/>
  <c r="BU20" i="1"/>
  <c r="C44" i="5"/>
  <c r="B44" i="5"/>
  <c r="BT20" i="1"/>
  <c r="D41" i="5"/>
  <c r="D44" i="5" s="1"/>
  <c r="C41" i="5"/>
  <c r="B41" i="5"/>
  <c r="E40" i="5"/>
  <c r="F152" i="2"/>
  <c r="C152" i="2"/>
  <c r="B152" i="2"/>
  <c r="BS20" i="1"/>
  <c r="BR20" i="1"/>
  <c r="BQ20" i="1"/>
  <c r="BP20" i="1"/>
  <c r="BO20" i="1"/>
  <c r="BN20" i="1"/>
  <c r="BL20" i="1"/>
  <c r="BK20" i="1"/>
  <c r="BJ20" i="1"/>
  <c r="L12" i="1"/>
  <c r="L9" i="1"/>
  <c r="D152" i="2" l="1"/>
  <c r="G152" i="2"/>
  <c r="E152" i="2"/>
  <c r="L24" i="1"/>
  <c r="L20" i="1"/>
  <c r="M24" i="1"/>
  <c r="BI20" i="1"/>
  <c r="E139" i="2"/>
  <c r="E144" i="2" s="1"/>
  <c r="C139" i="2"/>
  <c r="C144" i="2" s="1"/>
  <c r="F144" i="2"/>
  <c r="B144" i="2"/>
  <c r="G143" i="2"/>
  <c r="D143" i="2"/>
  <c r="G142" i="2"/>
  <c r="D142" i="2"/>
  <c r="G141" i="2"/>
  <c r="D141" i="2"/>
  <c r="G140" i="2"/>
  <c r="D140" i="2"/>
  <c r="H140" i="2" s="1"/>
  <c r="BH20" i="1"/>
  <c r="E39" i="5"/>
  <c r="BG20" i="1"/>
  <c r="BF26" i="1"/>
  <c r="BF20" i="1"/>
  <c r="BE20" i="1"/>
  <c r="BD20" i="1"/>
  <c r="BA20" i="1"/>
  <c r="AZ20" i="1"/>
  <c r="AY20" i="1"/>
  <c r="AX20" i="1"/>
  <c r="AW20" i="1"/>
  <c r="AF12" i="1"/>
  <c r="AF9" i="1"/>
  <c r="AV20" i="1"/>
  <c r="U17" i="6"/>
  <c r="T17" i="6"/>
  <c r="S17" i="6"/>
  <c r="R17" i="6"/>
  <c r="Q17" i="6"/>
  <c r="P17" i="6"/>
  <c r="O17" i="6"/>
  <c r="N17" i="6"/>
  <c r="M17" i="6"/>
  <c r="L17" i="6"/>
  <c r="K17" i="6"/>
  <c r="J17" i="6"/>
  <c r="B17" i="6"/>
  <c r="H17" i="6"/>
  <c r="G17" i="6"/>
  <c r="F17" i="6"/>
  <c r="E17" i="6"/>
  <c r="D17" i="6"/>
  <c r="C17" i="6"/>
  <c r="I17" i="6"/>
  <c r="U8" i="6"/>
  <c r="U12" i="6" s="1"/>
  <c r="C131" i="2"/>
  <c r="C136" i="2" s="1"/>
  <c r="E38" i="5"/>
  <c r="AU20" i="1"/>
  <c r="G133" i="2"/>
  <c r="F136" i="2"/>
  <c r="E136" i="2"/>
  <c r="B136" i="2"/>
  <c r="G135" i="2"/>
  <c r="D135" i="2"/>
  <c r="G134" i="2"/>
  <c r="D134" i="2"/>
  <c r="D133" i="2"/>
  <c r="G132" i="2"/>
  <c r="D132" i="2"/>
  <c r="G131" i="2"/>
  <c r="AL20" i="1"/>
  <c r="AT20" i="1"/>
  <c r="AR20" i="1"/>
  <c r="AS20" i="1"/>
  <c r="AM25" i="1"/>
  <c r="AM24" i="1"/>
  <c r="AM23" i="1"/>
  <c r="AM22" i="1"/>
  <c r="AM21" i="1"/>
  <c r="AM12" i="1"/>
  <c r="AM11" i="1"/>
  <c r="AM10" i="1"/>
  <c r="AM9" i="1"/>
  <c r="AM8" i="1"/>
  <c r="AF25" i="1"/>
  <c r="AF23" i="1"/>
  <c r="AF22" i="1"/>
  <c r="AF21" i="1"/>
  <c r="AF11" i="1"/>
  <c r="AF10" i="1"/>
  <c r="AF8" i="1"/>
  <c r="AN8" i="1" s="1"/>
  <c r="AF20" i="1"/>
  <c r="M20" i="1"/>
  <c r="C122" i="2"/>
  <c r="C127" i="2" s="1"/>
  <c r="F127" i="2"/>
  <c r="E127" i="2"/>
  <c r="B127" i="2"/>
  <c r="G126" i="2"/>
  <c r="D126" i="2"/>
  <c r="G125" i="2"/>
  <c r="D125" i="2"/>
  <c r="G124" i="2"/>
  <c r="D124" i="2"/>
  <c r="G123" i="2"/>
  <c r="D123" i="2"/>
  <c r="G122" i="2"/>
  <c r="E37" i="5"/>
  <c r="T26" i="6"/>
  <c r="T25" i="6"/>
  <c r="T8" i="6"/>
  <c r="J22" i="9"/>
  <c r="B22" i="9"/>
  <c r="J21" i="9"/>
  <c r="J20" i="9"/>
  <c r="J19" i="9"/>
  <c r="J18" i="9"/>
  <c r="J17" i="9"/>
  <c r="J16" i="9"/>
  <c r="J15" i="9"/>
  <c r="J12" i="9"/>
  <c r="J11" i="9"/>
  <c r="J10" i="9"/>
  <c r="J9" i="9"/>
  <c r="J8" i="9"/>
  <c r="J7" i="9"/>
  <c r="J6" i="9"/>
  <c r="J5" i="9"/>
  <c r="S26" i="6"/>
  <c r="S25" i="6"/>
  <c r="S8" i="6"/>
  <c r="S12" i="6" s="1"/>
  <c r="E36" i="5"/>
  <c r="C114" i="2"/>
  <c r="C119" i="2" s="1"/>
  <c r="F116" i="2"/>
  <c r="G116" i="2" s="1"/>
  <c r="D116" i="2"/>
  <c r="F119" i="2"/>
  <c r="E119" i="2"/>
  <c r="B119" i="2"/>
  <c r="G118" i="2"/>
  <c r="D118" i="2"/>
  <c r="G117" i="2"/>
  <c r="D117" i="2"/>
  <c r="G115" i="2"/>
  <c r="D115" i="2"/>
  <c r="G114" i="2"/>
  <c r="BZ20" i="1"/>
  <c r="R26" i="6"/>
  <c r="R25" i="6"/>
  <c r="Q26" i="6"/>
  <c r="Q25" i="6"/>
  <c r="E106" i="2"/>
  <c r="E111" i="2" s="1"/>
  <c r="C106" i="2"/>
  <c r="D106" i="2" s="1"/>
  <c r="R8" i="6"/>
  <c r="R12" i="6" s="1"/>
  <c r="Q8" i="6"/>
  <c r="Q12" i="6" s="1"/>
  <c r="E35" i="5"/>
  <c r="F111" i="2"/>
  <c r="B111" i="2"/>
  <c r="G110" i="2"/>
  <c r="D110" i="2"/>
  <c r="G109" i="2"/>
  <c r="D109" i="2"/>
  <c r="G108" i="2"/>
  <c r="D108" i="2"/>
  <c r="G107" i="2"/>
  <c r="D107" i="2"/>
  <c r="AE31" i="1"/>
  <c r="E34" i="5"/>
  <c r="C98" i="2"/>
  <c r="D98" i="2" s="1"/>
  <c r="F103" i="2"/>
  <c r="E103" i="2"/>
  <c r="B103" i="2"/>
  <c r="G102" i="2"/>
  <c r="D102" i="2"/>
  <c r="G101" i="2"/>
  <c r="D101" i="2"/>
  <c r="G100" i="2"/>
  <c r="D100" i="2"/>
  <c r="G99" i="2"/>
  <c r="D99" i="2"/>
  <c r="G98" i="2"/>
  <c r="AE27" i="1"/>
  <c r="AE14" i="1"/>
  <c r="CA8" i="1" l="1"/>
  <c r="BZ8" i="1"/>
  <c r="H152" i="2"/>
  <c r="H143" i="2"/>
  <c r="G139" i="2"/>
  <c r="G144" i="2" s="1"/>
  <c r="D122" i="2"/>
  <c r="G106" i="2"/>
  <c r="H123" i="2"/>
  <c r="H142" i="2"/>
  <c r="H141" i="2"/>
  <c r="D139" i="2"/>
  <c r="D144" i="2" s="1"/>
  <c r="AN9" i="1"/>
  <c r="AF24" i="1"/>
  <c r="AN24" i="1" s="1"/>
  <c r="H134" i="2"/>
  <c r="AN12" i="1"/>
  <c r="T9" i="6"/>
  <c r="U13" i="6"/>
  <c r="U9" i="6"/>
  <c r="D131" i="2"/>
  <c r="D136" i="2" s="1"/>
  <c r="AN10" i="1"/>
  <c r="AN11" i="1"/>
  <c r="AN23" i="1"/>
  <c r="AN25" i="1"/>
  <c r="AN21" i="1"/>
  <c r="AN22" i="1"/>
  <c r="H116" i="2"/>
  <c r="C103" i="2"/>
  <c r="H135" i="2"/>
  <c r="G136" i="2"/>
  <c r="H133" i="2"/>
  <c r="H132" i="2"/>
  <c r="AF13" i="1"/>
  <c r="H126" i="2"/>
  <c r="H125" i="2"/>
  <c r="G127" i="2"/>
  <c r="H124" i="2"/>
  <c r="D127" i="2"/>
  <c r="H122" i="2"/>
  <c r="E41" i="5"/>
  <c r="T12" i="6"/>
  <c r="T13" i="6" s="1"/>
  <c r="S9" i="6"/>
  <c r="H115" i="2"/>
  <c r="H118" i="2"/>
  <c r="H117" i="2"/>
  <c r="G119" i="2"/>
  <c r="D114" i="2"/>
  <c r="D119" i="2" s="1"/>
  <c r="H109" i="2"/>
  <c r="H107" i="2"/>
  <c r="G111" i="2"/>
  <c r="H108" i="2"/>
  <c r="H110" i="2"/>
  <c r="D111" i="2"/>
  <c r="H106" i="2"/>
  <c r="C111" i="2"/>
  <c r="H99" i="2"/>
  <c r="H100" i="2"/>
  <c r="H101" i="2"/>
  <c r="D103" i="2"/>
  <c r="H102" i="2"/>
  <c r="H98" i="2"/>
  <c r="G103" i="2"/>
  <c r="H20" i="7"/>
  <c r="H17" i="7"/>
  <c r="H19" i="7"/>
  <c r="H18" i="7"/>
  <c r="H16" i="7"/>
  <c r="H12" i="7"/>
  <c r="H14" i="7"/>
  <c r="H15" i="7"/>
  <c r="H13" i="7"/>
  <c r="H11" i="7"/>
  <c r="H8" i="7"/>
  <c r="H10" i="7"/>
  <c r="H9" i="7"/>
  <c r="H5" i="7"/>
  <c r="H7" i="7"/>
  <c r="H6" i="7"/>
  <c r="P26" i="6"/>
  <c r="P25" i="6"/>
  <c r="P8" i="6"/>
  <c r="P12" i="6" s="1"/>
  <c r="E33" i="5"/>
  <c r="E90" i="2"/>
  <c r="E95" i="2" s="1"/>
  <c r="C90" i="2"/>
  <c r="C95" i="2" s="1"/>
  <c r="F95" i="2"/>
  <c r="B95" i="2"/>
  <c r="G94" i="2"/>
  <c r="D94" i="2"/>
  <c r="G93" i="2"/>
  <c r="D93" i="2"/>
  <c r="G92" i="2"/>
  <c r="D92" i="2"/>
  <c r="G91" i="2"/>
  <c r="D91" i="2"/>
  <c r="E84" i="2"/>
  <c r="G84" i="2" s="1"/>
  <c r="E82" i="2"/>
  <c r="G82" i="2" s="1"/>
  <c r="C82" i="2"/>
  <c r="D82" i="2" s="1"/>
  <c r="F87" i="2"/>
  <c r="C87" i="2"/>
  <c r="B87" i="2"/>
  <c r="G86" i="2"/>
  <c r="D86" i="2"/>
  <c r="G85" i="2"/>
  <c r="D85" i="2"/>
  <c r="D84" i="2"/>
  <c r="G83" i="2"/>
  <c r="D83" i="2"/>
  <c r="O26" i="6"/>
  <c r="N26" i="6"/>
  <c r="M26" i="6"/>
  <c r="L26" i="6"/>
  <c r="K26" i="6"/>
  <c r="J26" i="6"/>
  <c r="I26" i="6"/>
  <c r="H26" i="6"/>
  <c r="G26" i="6"/>
  <c r="F26" i="6"/>
  <c r="O25" i="6"/>
  <c r="N25" i="6"/>
  <c r="M25" i="6"/>
  <c r="L25" i="6"/>
  <c r="K25" i="6"/>
  <c r="J25" i="6"/>
  <c r="I25" i="6"/>
  <c r="H25" i="6"/>
  <c r="G25" i="6"/>
  <c r="F25" i="6"/>
  <c r="O8" i="6"/>
  <c r="N8" i="6"/>
  <c r="N12" i="6" s="1"/>
  <c r="R13" i="6" s="1"/>
  <c r="M8" i="6"/>
  <c r="Q9" i="6" s="1"/>
  <c r="L8" i="6"/>
  <c r="K8" i="6"/>
  <c r="J8" i="6"/>
  <c r="I8" i="6"/>
  <c r="I12" i="6" s="1"/>
  <c r="H8" i="6"/>
  <c r="H12" i="6" s="1"/>
  <c r="G8" i="6"/>
  <c r="G12" i="6" s="1"/>
  <c r="F8" i="6"/>
  <c r="F12" i="6" s="1"/>
  <c r="E8" i="6"/>
  <c r="E12" i="6" s="1"/>
  <c r="D8" i="6"/>
  <c r="D12" i="6" s="1"/>
  <c r="C8" i="6"/>
  <c r="C12" i="6" s="1"/>
  <c r="B8" i="6"/>
  <c r="B12" i="6" s="1"/>
  <c r="BZ10" i="1" l="1"/>
  <c r="CA10" i="1"/>
  <c r="CA9" i="1"/>
  <c r="BZ9" i="1"/>
  <c r="BZ11" i="1"/>
  <c r="CA11" i="1"/>
  <c r="CA12" i="1"/>
  <c r="BZ12" i="1"/>
  <c r="CA24" i="1"/>
  <c r="BZ24" i="1"/>
  <c r="BZ25" i="1"/>
  <c r="CA25" i="1"/>
  <c r="CA23" i="1"/>
  <c r="BZ23" i="1"/>
  <c r="BZ22" i="1"/>
  <c r="CA22" i="1"/>
  <c r="CA21" i="1"/>
  <c r="BZ21" i="1"/>
  <c r="AF26" i="1"/>
  <c r="AF27" i="1" s="1"/>
  <c r="AF14" i="1"/>
  <c r="H131" i="2"/>
  <c r="H136" i="2" s="1"/>
  <c r="H139" i="2"/>
  <c r="H144" i="2" s="1"/>
  <c r="P13" i="6"/>
  <c r="R9" i="6"/>
  <c r="D90" i="2"/>
  <c r="D95" i="2" s="1"/>
  <c r="H127" i="2"/>
  <c r="H114" i="2"/>
  <c r="H119" i="2" s="1"/>
  <c r="H111" i="2"/>
  <c r="H103" i="2"/>
  <c r="P9" i="6"/>
  <c r="H94" i="2"/>
  <c r="H92" i="2"/>
  <c r="H91" i="2"/>
  <c r="H93" i="2"/>
  <c r="G90" i="2"/>
  <c r="H86" i="2"/>
  <c r="H85" i="2"/>
  <c r="H84" i="2"/>
  <c r="H83" i="2"/>
  <c r="E87" i="2"/>
  <c r="H82" i="2"/>
  <c r="D87" i="2"/>
  <c r="G87" i="2"/>
  <c r="G13" i="6"/>
  <c r="J9" i="6"/>
  <c r="I13" i="6"/>
  <c r="K9" i="6"/>
  <c r="L9" i="6"/>
  <c r="M9" i="6"/>
  <c r="O9" i="6"/>
  <c r="F9" i="6"/>
  <c r="G9" i="6"/>
  <c r="H9" i="6"/>
  <c r="I9" i="6"/>
  <c r="F13" i="6"/>
  <c r="H13" i="6"/>
  <c r="L12" i="6"/>
  <c r="L13" i="6" s="1"/>
  <c r="O12" i="6"/>
  <c r="S13" i="6" s="1"/>
  <c r="N9" i="6"/>
  <c r="J12" i="6"/>
  <c r="J13" i="6" s="1"/>
  <c r="K12" i="6"/>
  <c r="K13" i="6" s="1"/>
  <c r="M12" i="6"/>
  <c r="AF31" i="1" l="1"/>
  <c r="M13" i="6"/>
  <c r="Q13" i="6"/>
  <c r="G95" i="2"/>
  <c r="H90" i="2"/>
  <c r="H95" i="2" s="1"/>
  <c r="H87" i="2"/>
  <c r="O13" i="6"/>
  <c r="N13" i="6"/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F79" i="2"/>
  <c r="C79" i="2"/>
  <c r="B79" i="2"/>
  <c r="G78" i="2"/>
  <c r="D78" i="2"/>
  <c r="H78" i="2" s="1"/>
  <c r="G77" i="2"/>
  <c r="D77" i="2"/>
  <c r="H77" i="2" s="1"/>
  <c r="G76" i="2"/>
  <c r="D76" i="2"/>
  <c r="G75" i="2"/>
  <c r="D75" i="2"/>
  <c r="G74" i="2"/>
  <c r="E79" i="2"/>
  <c r="D74" i="2"/>
  <c r="I24" i="1"/>
  <c r="E66" i="2"/>
  <c r="C66" i="2"/>
  <c r="H76" i="2" l="1"/>
  <c r="AN26" i="1"/>
  <c r="AN13" i="1"/>
  <c r="H75" i="2"/>
  <c r="G79" i="2"/>
  <c r="D79" i="2"/>
  <c r="H74" i="2"/>
  <c r="E68" i="2"/>
  <c r="G68" i="2" s="1"/>
  <c r="F71" i="2"/>
  <c r="E71" i="2"/>
  <c r="C71" i="2"/>
  <c r="B71" i="2"/>
  <c r="G70" i="2"/>
  <c r="D70" i="2"/>
  <c r="G69" i="2"/>
  <c r="D69" i="2"/>
  <c r="D68" i="2"/>
  <c r="G67" i="2"/>
  <c r="D67" i="2"/>
  <c r="G66" i="2"/>
  <c r="D66" i="2"/>
  <c r="U20" i="1"/>
  <c r="AD31" i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F63" i="2"/>
  <c r="E63" i="2"/>
  <c r="B63" i="2"/>
  <c r="G62" i="2"/>
  <c r="H62" i="2" s="1"/>
  <c r="D62" i="2"/>
  <c r="G61" i="2"/>
  <c r="D61" i="2"/>
  <c r="G60" i="2"/>
  <c r="D60" i="2"/>
  <c r="G59" i="2"/>
  <c r="D59" i="2"/>
  <c r="G58" i="2"/>
  <c r="D58" i="2"/>
  <c r="H58" i="2" s="1"/>
  <c r="C63" i="2"/>
  <c r="E50" i="2"/>
  <c r="G50" i="2" s="1"/>
  <c r="C50" i="2"/>
  <c r="D50" i="2" s="1"/>
  <c r="C55" i="2"/>
  <c r="I20" i="1"/>
  <c r="F55" i="2"/>
  <c r="B55" i="2"/>
  <c r="G54" i="2"/>
  <c r="D54" i="2"/>
  <c r="G53" i="2"/>
  <c r="D53" i="2"/>
  <c r="G52" i="2"/>
  <c r="D52" i="2"/>
  <c r="G51" i="2"/>
  <c r="D51" i="2"/>
  <c r="C42" i="2"/>
  <c r="D42" i="2" s="1"/>
  <c r="E42" i="2"/>
  <c r="G42" i="2" s="1"/>
  <c r="E47" i="2"/>
  <c r="F47" i="2"/>
  <c r="B47" i="2"/>
  <c r="G46" i="2"/>
  <c r="D46" i="2"/>
  <c r="G45" i="2"/>
  <c r="D45" i="2"/>
  <c r="G44" i="2"/>
  <c r="D44" i="2"/>
  <c r="G43" i="2"/>
  <c r="D43" i="2"/>
  <c r="H9" i="1"/>
  <c r="AC9" i="1" s="1"/>
  <c r="E34" i="2"/>
  <c r="E39" i="2" s="1"/>
  <c r="C34" i="2"/>
  <c r="D34" i="2" s="1"/>
  <c r="C39" i="2"/>
  <c r="F39" i="2"/>
  <c r="B39" i="2"/>
  <c r="G38" i="2"/>
  <c r="D38" i="2"/>
  <c r="G37" i="2"/>
  <c r="D37" i="2"/>
  <c r="G36" i="2"/>
  <c r="D36" i="2"/>
  <c r="G35" i="2"/>
  <c r="D35" i="2"/>
  <c r="AC25" i="1"/>
  <c r="AC24" i="1"/>
  <c r="AC23" i="1"/>
  <c r="AC22" i="1"/>
  <c r="AC21" i="1"/>
  <c r="AC12" i="1"/>
  <c r="AC11" i="1"/>
  <c r="AC10" i="1"/>
  <c r="AC8" i="1"/>
  <c r="E26" i="2"/>
  <c r="G26" i="2" s="1"/>
  <c r="C26" i="2"/>
  <c r="D26" i="2" s="1"/>
  <c r="F31" i="2"/>
  <c r="B31" i="2"/>
  <c r="G30" i="2"/>
  <c r="D30" i="2"/>
  <c r="G29" i="2"/>
  <c r="D29" i="2"/>
  <c r="G28" i="2"/>
  <c r="D28" i="2"/>
  <c r="G27" i="2"/>
  <c r="D27" i="2"/>
  <c r="C18" i="2"/>
  <c r="C23" i="2" s="1"/>
  <c r="F23" i="2"/>
  <c r="E23" i="2"/>
  <c r="B23" i="2"/>
  <c r="G22" i="2"/>
  <c r="D22" i="2"/>
  <c r="G21" i="2"/>
  <c r="D21" i="2"/>
  <c r="G20" i="2"/>
  <c r="D20" i="2"/>
  <c r="G19" i="2"/>
  <c r="D19" i="2"/>
  <c r="G18" i="2"/>
  <c r="F15" i="2"/>
  <c r="E15" i="2"/>
  <c r="B15" i="2"/>
  <c r="G14" i="2"/>
  <c r="D14" i="2"/>
  <c r="G13" i="2"/>
  <c r="D13" i="2"/>
  <c r="G12" i="2"/>
  <c r="D12" i="2"/>
  <c r="G11" i="2"/>
  <c r="D11" i="2"/>
  <c r="G10" i="2"/>
  <c r="C10" i="2"/>
  <c r="D10" i="2" s="1"/>
  <c r="C15" i="2"/>
  <c r="F7" i="2"/>
  <c r="E7" i="2"/>
  <c r="B7" i="2"/>
  <c r="G6" i="2"/>
  <c r="D6" i="2"/>
  <c r="G5" i="2"/>
  <c r="H5" i="2" s="1"/>
  <c r="D5" i="2"/>
  <c r="G4" i="2"/>
  <c r="D4" i="2"/>
  <c r="H4" i="2" s="1"/>
  <c r="G3" i="2"/>
  <c r="D3" i="2"/>
  <c r="G2" i="2"/>
  <c r="C2" i="2"/>
  <c r="C7" i="2" s="1"/>
  <c r="H35" i="2"/>
  <c r="H3" i="2"/>
  <c r="H12" i="2"/>
  <c r="H6" i="2"/>
  <c r="H20" i="1"/>
  <c r="G20" i="1"/>
  <c r="CA20" i="1"/>
  <c r="Z25" i="1"/>
  <c r="Y25" i="1"/>
  <c r="Z24" i="1"/>
  <c r="Y24" i="1"/>
  <c r="Z23" i="1"/>
  <c r="Y23" i="1"/>
  <c r="Z22" i="1"/>
  <c r="Y22" i="1"/>
  <c r="Z21" i="1"/>
  <c r="Y21" i="1"/>
  <c r="Z12" i="1"/>
  <c r="Y12" i="1"/>
  <c r="Z11" i="1"/>
  <c r="Y11" i="1"/>
  <c r="Z10" i="1"/>
  <c r="Y10" i="1"/>
  <c r="Z9" i="1"/>
  <c r="Y9" i="1"/>
  <c r="Z8" i="1"/>
  <c r="Y8" i="1"/>
  <c r="Z20" i="1"/>
  <c r="Y20" i="1"/>
  <c r="E20" i="1"/>
  <c r="D20" i="1"/>
  <c r="AB12" i="1"/>
  <c r="AB11" i="1"/>
  <c r="AB10" i="1"/>
  <c r="AB9" i="1"/>
  <c r="AB8" i="1"/>
  <c r="AA20" i="1"/>
  <c r="AB25" i="1"/>
  <c r="AB23" i="1"/>
  <c r="AB22" i="1"/>
  <c r="AB21" i="1"/>
  <c r="AA25" i="1"/>
  <c r="AA24" i="1"/>
  <c r="AA23" i="1"/>
  <c r="AA22" i="1"/>
  <c r="AA21" i="1"/>
  <c r="AA12" i="1"/>
  <c r="AA11" i="1"/>
  <c r="AA10" i="1"/>
  <c r="AA9" i="1"/>
  <c r="AA8" i="1"/>
  <c r="S20" i="1"/>
  <c r="R20" i="1"/>
  <c r="AB24" i="1"/>
  <c r="AL19" i="1"/>
  <c r="F20" i="1"/>
  <c r="AJ13" i="1"/>
  <c r="AJ26" i="1"/>
  <c r="AI26" i="1"/>
  <c r="AI13" i="1"/>
  <c r="CA13" i="1" l="1"/>
  <c r="BZ13" i="1"/>
  <c r="BZ26" i="1"/>
  <c r="CA26" i="1"/>
  <c r="H11" i="2"/>
  <c r="H14" i="2"/>
  <c r="H28" i="2"/>
  <c r="D31" i="2"/>
  <c r="H22" i="2"/>
  <c r="H30" i="2"/>
  <c r="H59" i="2"/>
  <c r="H29" i="2"/>
  <c r="H21" i="2"/>
  <c r="G15" i="2"/>
  <c r="D15" i="2"/>
  <c r="G55" i="2"/>
  <c r="H27" i="2"/>
  <c r="H36" i="2"/>
  <c r="G34" i="2"/>
  <c r="G39" i="2" s="1"/>
  <c r="H13" i="2"/>
  <c r="D39" i="2"/>
  <c r="D18" i="2"/>
  <c r="G23" i="2"/>
  <c r="E31" i="2"/>
  <c r="H20" i="2"/>
  <c r="C31" i="2"/>
  <c r="D2" i="2"/>
  <c r="D7" i="2" s="1"/>
  <c r="G31" i="2"/>
  <c r="H26" i="2"/>
  <c r="E55" i="2"/>
  <c r="H38" i="2"/>
  <c r="H37" i="2"/>
  <c r="H10" i="2"/>
  <c r="C47" i="2"/>
  <c r="H19" i="2"/>
  <c r="G7" i="2"/>
  <c r="D55" i="2"/>
  <c r="H51" i="2"/>
  <c r="H60" i="2"/>
  <c r="H52" i="2"/>
  <c r="H53" i="2"/>
  <c r="H54" i="2"/>
  <c r="H45" i="2"/>
  <c r="H46" i="2"/>
  <c r="D63" i="2"/>
  <c r="G63" i="2"/>
  <c r="H79" i="2"/>
  <c r="H61" i="2"/>
  <c r="H50" i="2"/>
  <c r="H44" i="2"/>
  <c r="D47" i="2"/>
  <c r="H42" i="2"/>
  <c r="H43" i="2"/>
  <c r="H70" i="2"/>
  <c r="H69" i="2"/>
  <c r="H68" i="2"/>
  <c r="D71" i="2"/>
  <c r="H67" i="2"/>
  <c r="G71" i="2"/>
  <c r="H66" i="2"/>
  <c r="G47" i="2"/>
  <c r="AC13" i="1"/>
  <c r="AD14" i="1" s="1"/>
  <c r="AC26" i="1"/>
  <c r="AD27" i="1" s="1"/>
  <c r="Z13" i="1"/>
  <c r="Y26" i="1"/>
  <c r="Z26" i="1"/>
  <c r="AB26" i="1"/>
  <c r="AB13" i="1"/>
  <c r="AA26" i="1"/>
  <c r="AA13" i="1"/>
  <c r="Y13" i="1"/>
  <c r="AP26" i="1"/>
  <c r="AP13" i="1"/>
  <c r="H15" i="2" l="1"/>
  <c r="H31" i="2"/>
  <c r="H18" i="2"/>
  <c r="H23" i="2" s="1"/>
  <c r="D23" i="2"/>
  <c r="H34" i="2"/>
  <c r="H39" i="2" s="1"/>
  <c r="H2" i="2"/>
  <c r="H7" i="2" s="1"/>
  <c r="H47" i="2"/>
  <c r="H55" i="2"/>
  <c r="H63" i="2"/>
  <c r="Z27" i="1"/>
  <c r="AA27" i="1"/>
  <c r="AA14" i="1"/>
  <c r="Z31" i="1"/>
  <c r="H71" i="2"/>
  <c r="AC14" i="1"/>
  <c r="AC31" i="1"/>
  <c r="AC27" i="1"/>
  <c r="Y31" i="1"/>
  <c r="Z14" i="1"/>
  <c r="AB31" i="1"/>
  <c r="AB14" i="1"/>
  <c r="AB27" i="1"/>
  <c r="AP31" i="1"/>
  <c r="AA31" i="1"/>
  <c r="AA28" i="1" l="1"/>
  <c r="AB28" i="1" s="1"/>
  <c r="AC28" i="1" s="1"/>
  <c r="AD28" i="1" s="1"/>
  <c r="AE28" i="1" s="1"/>
  <c r="AF28" i="1" s="1"/>
  <c r="AA15" i="1"/>
  <c r="AB15" i="1" s="1"/>
  <c r="AC15" i="1" s="1"/>
  <c r="AD15" i="1" s="1"/>
  <c r="AE15" i="1" s="1"/>
  <c r="AF15" i="1" s="1"/>
</calcChain>
</file>

<file path=xl/sharedStrings.xml><?xml version="1.0" encoding="utf-8"?>
<sst xmlns="http://schemas.openxmlformats.org/spreadsheetml/2006/main" count="735" uniqueCount="256">
  <si>
    <t>Stock Name</t>
  </si>
  <si>
    <t>Ticker</t>
  </si>
  <si>
    <t>Apple</t>
  </si>
  <si>
    <t>AAPL</t>
  </si>
  <si>
    <t>GOOG</t>
  </si>
  <si>
    <t>Alphabet (Google)</t>
  </si>
  <si>
    <t>Microsoft</t>
  </si>
  <si>
    <t>MSFT</t>
  </si>
  <si>
    <t>Amazon</t>
  </si>
  <si>
    <t>AMZN</t>
  </si>
  <si>
    <t>Totals</t>
  </si>
  <si>
    <t>Cash</t>
  </si>
  <si>
    <t>AT&amp;T</t>
  </si>
  <si>
    <t>Verizon</t>
  </si>
  <si>
    <t>T-Mobile</t>
  </si>
  <si>
    <t>Comcast</t>
  </si>
  <si>
    <t>Charter</t>
  </si>
  <si>
    <t>T</t>
  </si>
  <si>
    <t>VZ</t>
  </si>
  <si>
    <t>TMUS</t>
  </si>
  <si>
    <t>CMCSA</t>
  </si>
  <si>
    <t>CHTR</t>
  </si>
  <si>
    <t>Debt</t>
  </si>
  <si>
    <t>% change</t>
  </si>
  <si>
    <t>Value Gained/ Lost ($B)</t>
  </si>
  <si>
    <t xml:space="preserve"> </t>
  </si>
  <si>
    <t>Shares outstanding (end of yr unless noted)</t>
  </si>
  <si>
    <t>Stock Price (last trading day of year)</t>
  </si>
  <si>
    <t>Sources:  Stock price = Yahoo/ Bloomberg/ Wall Street Journal; Shares outstanding = company SEC filings</t>
  </si>
  <si>
    <t>Change</t>
  </si>
  <si>
    <t>FAB FIVE</t>
  </si>
  <si>
    <t>TELCO TOP FIVE</t>
  </si>
  <si>
    <t>Cumulative Change</t>
  </si>
  <si>
    <t>The Sunday Brief</t>
  </si>
  <si>
    <t>Value Creation Since 1/1/2019</t>
  </si>
  <si>
    <t>Current market cap</t>
  </si>
  <si>
    <t>Stock price as of end of trading of date shown</t>
  </si>
  <si>
    <t>Facebook/ Meta</t>
  </si>
  <si>
    <t>1-wk change</t>
  </si>
  <si>
    <t>Mkt Sec</t>
  </si>
  <si>
    <t>Total</t>
  </si>
  <si>
    <t>S-T Debt</t>
  </si>
  <si>
    <t>L-T Debt</t>
  </si>
  <si>
    <t>Net Debt</t>
  </si>
  <si>
    <t>Google</t>
  </si>
  <si>
    <t>Facebook</t>
  </si>
  <si>
    <t>Fab Five totals</t>
  </si>
  <si>
    <t>Cumulative Change since 1/1/2019</t>
  </si>
  <si>
    <t>Stock</t>
  </si>
  <si>
    <t>Value</t>
  </si>
  <si>
    <t>CABO</t>
  </si>
  <si>
    <t>Cable One</t>
  </si>
  <si>
    <t>Notes</t>
  </si>
  <si>
    <t>CABO went public in July 2015</t>
  </si>
  <si>
    <t>Ann. RoR</t>
  </si>
  <si>
    <t>Lumen</t>
  </si>
  <si>
    <t>LUMN</t>
  </si>
  <si>
    <t>ATUS</t>
  </si>
  <si>
    <t>ATUS became a separate stock on June 23, 2017</t>
  </si>
  <si>
    <t>Dish</t>
  </si>
  <si>
    <t>DISH</t>
  </si>
  <si>
    <t>Value of $10000 invested on 12/31/2013 (unless otherwise noted) with dividends reinvested</t>
  </si>
  <si>
    <t>Nokia</t>
  </si>
  <si>
    <t>NOK</t>
  </si>
  <si>
    <t>Ericsson</t>
  </si>
  <si>
    <t>ERIC</t>
  </si>
  <si>
    <t>Meta/ Facebook</t>
  </si>
  <si>
    <t>Alphabet/ Google</t>
  </si>
  <si>
    <t>META</t>
  </si>
  <si>
    <t xml:space="preserve">Source:  </t>
  </si>
  <si>
    <t>https://dqydj.com/stock-return-calculator/</t>
  </si>
  <si>
    <t>Altice USA</t>
  </si>
  <si>
    <t>Dividend Channel</t>
  </si>
  <si>
    <t>Diff (%)</t>
  </si>
  <si>
    <t>Relative Market Capitlization</t>
  </si>
  <si>
    <t>Ticker Symbol</t>
  </si>
  <si>
    <t>Mobile Net Additions (000s) By Quarter</t>
  </si>
  <si>
    <t>Period</t>
  </si>
  <si>
    <t>Altice</t>
  </si>
  <si>
    <t>2Q 2017</t>
  </si>
  <si>
    <t>3Q 2017</t>
  </si>
  <si>
    <t>4Q 2017</t>
  </si>
  <si>
    <t>1Q 2018</t>
  </si>
  <si>
    <t>2Q 2018</t>
  </si>
  <si>
    <t>3Q 2018</t>
  </si>
  <si>
    <t>4Q 2018</t>
  </si>
  <si>
    <t>1Q 2019</t>
  </si>
  <si>
    <t>2Q 2019</t>
  </si>
  <si>
    <t>3Q 2019</t>
  </si>
  <si>
    <t>4Q 2019</t>
  </si>
  <si>
    <t>1Q 2020</t>
  </si>
  <si>
    <t>2Q 2020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</si>
  <si>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</si>
  <si>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</si>
  <si>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</si>
  <si>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</si>
  <si>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</si>
  <si>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</si>
  <si>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</si>
  <si>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</si>
  <si>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</si>
  <si>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</si>
  <si>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1Q 2023</t>
  </si>
  <si>
    <t>2Q 2023</t>
  </si>
  <si>
    <t>3Q 2023</t>
  </si>
  <si>
    <t>4Q 2023</t>
  </si>
  <si>
    <t>1Q 2024</t>
  </si>
  <si>
    <t>2Q 2024</t>
  </si>
  <si>
    <t>TOTAL (000s)</t>
  </si>
  <si>
    <t xml:space="preserve">Verizon Subscribers (including Wholesale) </t>
  </si>
  <si>
    <t>NOTE:  all amts. in 000s</t>
  </si>
  <si>
    <t>Description</t>
  </si>
  <si>
    <t>1Q</t>
  </si>
  <si>
    <t>2Q</t>
  </si>
  <si>
    <t>3Q</t>
  </si>
  <si>
    <t>4Q</t>
  </si>
  <si>
    <t>Verizon wireless consumer retail postpaid phone subscribers</t>
  </si>
  <si>
    <t>Xfinity Mobile subscribers</t>
  </si>
  <si>
    <t>Spectrum Mobile subscribers</t>
  </si>
  <si>
    <t>Total Verizon retail + wholesale (Verizon consumer only)</t>
  </si>
  <si>
    <t>Annual growth (%)</t>
  </si>
  <si>
    <t>Verizon wireless business retail postpaid phone subscribers</t>
  </si>
  <si>
    <t>Total Verizon phone subscribers (including cable MVNOs)</t>
  </si>
  <si>
    <t>Comcast residential broadband subscriber analysis</t>
  </si>
  <si>
    <t>Domestic broadband residential subscribers</t>
  </si>
  <si>
    <t>Subscriber annual growth %</t>
  </si>
  <si>
    <t>Revenue annual growth %</t>
  </si>
  <si>
    <t>Domestic residential broadband base base in 2Q 2019</t>
  </si>
  <si>
    <t>Domestic residential broadband revenue in 2Q 2019</t>
  </si>
  <si>
    <t>Memo: Verizon prepaid subscribers</t>
  </si>
  <si>
    <t>3Q 2024</t>
  </si>
  <si>
    <t>Value of $10000 invested on 1/1/2015 through 12/31/2024 (unless otherwise noted) with dividends reinvested</t>
  </si>
  <si>
    <t>Dish/ Echostar</t>
  </si>
  <si>
    <t>SATS</t>
  </si>
  <si>
    <t>https://www.dividendchannel.com/drip-returns-calculator/</t>
  </si>
  <si>
    <t>Company Name</t>
  </si>
  <si>
    <t>Before/ After</t>
  </si>
  <si>
    <t>Earnings Date</t>
  </si>
  <si>
    <t>Before</t>
  </si>
  <si>
    <t>Meta</t>
  </si>
  <si>
    <t>After</t>
  </si>
  <si>
    <t>Day</t>
  </si>
  <si>
    <t>Wed</t>
  </si>
  <si>
    <t>Thurs</t>
  </si>
  <si>
    <t>1Q 2025</t>
  </si>
  <si>
    <t>Domestic broadband residential  revenues ($)</t>
  </si>
  <si>
    <t>2Q 2025</t>
  </si>
  <si>
    <t>4Q 2024</t>
  </si>
  <si>
    <t>Employment status and nativity</t>
  </si>
  <si>
    <t>Men</t>
  </si>
  <si>
    <t>Women</t>
  </si>
  <si>
    <t>Aug.</t>
  </si>
  <si>
    <t>Aug</t>
  </si>
  <si>
    <t xml:space="preserve">2019 to </t>
  </si>
  <si>
    <t>2025</t>
  </si>
  <si>
    <t>Foreign born, 16 years and over</t>
  </si>
  <si>
    <t>Civilian noninstitutional population</t>
  </si>
  <si>
    <t>Civilian labor force</t>
  </si>
  <si>
    <t>Participation rate</t>
  </si>
  <si>
    <t>Employed</t>
  </si>
  <si>
    <t>Employment-population ratio</t>
  </si>
  <si>
    <t>Unemployed</t>
  </si>
  <si>
    <t>Unemployment rate</t>
  </si>
  <si>
    <t>Not in labor force</t>
  </si>
  <si>
    <t>Native born, 16 years and over</t>
  </si>
  <si>
    <t>Fri</t>
  </si>
  <si>
    <t>3Q 2025</t>
  </si>
  <si>
    <t>2026 YTD PERFORMANCE</t>
  </si>
  <si>
    <t>Equty Market Value</t>
  </si>
  <si>
    <t>YE 2025</t>
  </si>
  <si>
    <t>2-week change</t>
  </si>
  <si>
    <t>Metropolitan area</t>
  </si>
  <si>
    <t>Cable</t>
  </si>
  <si>
    <t>Telco</t>
  </si>
  <si>
    <t>10 year</t>
  </si>
  <si>
    <t>5 year</t>
  </si>
  <si>
    <t>1 year</t>
  </si>
  <si>
    <t>Austin-Round Rock-San Marcos, TX</t>
  </si>
  <si>
    <t>Raleigh-Cary, NC</t>
  </si>
  <si>
    <t>Nashville-Davidson--Murfreesboro--Franklin, TN</t>
  </si>
  <si>
    <t>Phoenix-Mesa-Chandler, AZ</t>
  </si>
  <si>
    <t>Cox</t>
  </si>
  <si>
    <t>Lumen/AT&amp;T</t>
  </si>
  <si>
    <t>Orlando-Kissimmee-Sanford, FL</t>
  </si>
  <si>
    <t>Dallas-Fort Worth-Arlington, TX</t>
  </si>
  <si>
    <t>AT&amp;T/Verizon</t>
  </si>
  <si>
    <t>Las Vegas-Henderson-North Las Vegas, NV</t>
  </si>
  <si>
    <t>Riverside-San Bernardino-Ontario, CA</t>
  </si>
  <si>
    <t>Fresno, CA</t>
  </si>
  <si>
    <t>Jacksonville, FL</t>
  </si>
  <si>
    <t>Salt Lake City-Murray, UT</t>
  </si>
  <si>
    <t>Charlotte-Concord-Gastonia, NC-SC</t>
  </si>
  <si>
    <t>Tampa-St. Petersburg-Clearwater, FL</t>
  </si>
  <si>
    <t>San Antonio-New Braunfels, TX</t>
  </si>
  <si>
    <t>Atlanta-Sandy Springs-Roswell, GA</t>
  </si>
  <si>
    <t>Sacramento-Roseville-Folsom, CA</t>
  </si>
  <si>
    <t>Houston-Pasadena-The Woodlands, TX</t>
  </si>
  <si>
    <t>Miami-Fort Lauderdale-West Palm Beach, FL</t>
  </si>
  <si>
    <t>Denver-Aurora-Centennial, CO</t>
  </si>
  <si>
    <t>Indianapolis-Carmel-Greenwood, IN</t>
  </si>
  <si>
    <t>Columbus, OH</t>
  </si>
  <si>
    <t>Oklahoma City, OK</t>
  </si>
  <si>
    <t>San Diego-Chula Vista-Carlsbad, CA</t>
  </si>
  <si>
    <t>Richmond, VA</t>
  </si>
  <si>
    <t>Seattle-Tacoma-Bellevue, WA</t>
  </si>
  <si>
    <t>Philadelphia-Camden-Wilmington, PA-NJ-DE-MD</t>
  </si>
  <si>
    <t>Kansas City, MO-KS</t>
  </si>
  <si>
    <t>New York-Newark-Jersey City, NY-NJ</t>
  </si>
  <si>
    <t>San Jose-Sunnyvale-Santa Clara, CA</t>
  </si>
  <si>
    <t>Cincinnati, OH-KY-IN</t>
  </si>
  <si>
    <t>Birmingham, AL</t>
  </si>
  <si>
    <t>Tucson, AZ</t>
  </si>
  <si>
    <t>Tulsa, OK</t>
  </si>
  <si>
    <t>Virginia Beach-Chesapeake-Norfolk, VA-NC</t>
  </si>
  <si>
    <t>Grand Rapids-Wyoming-Kentwood, MI</t>
  </si>
  <si>
    <t>Portland-Vancouver-Hillsboro, OR-WA</t>
  </si>
  <si>
    <t>Louisville/Jefferson County, KY-IN</t>
  </si>
  <si>
    <t>Los Angeles-Long Beach-Anaheim, CA</t>
  </si>
  <si>
    <t>San Francisco-Oakland-Fremont, CA</t>
  </si>
  <si>
    <t>Minneapolis-St. Paul-Bloomington, MN-WI</t>
  </si>
  <si>
    <t>Washington-Arlington-Alexandria, DC-VA-MD-WV</t>
  </si>
  <si>
    <t>Chicago-Naperville-Elgin, IL-IN</t>
  </si>
  <si>
    <t>St. Louis, MO-IL</t>
  </si>
  <si>
    <t>Baltimore-Columbia-Towson, MD</t>
  </si>
  <si>
    <t>Boston-Cambridge-Newton, MA-NH</t>
  </si>
  <si>
    <t>Detroit-Warren-Dearborn, MI</t>
  </si>
  <si>
    <t>Memphis, TN-MS-AR</t>
  </si>
  <si>
    <t>Hartford-West Hartford-East Hartford, CT</t>
  </si>
  <si>
    <t>Providence-Warwick, RI-MA</t>
  </si>
  <si>
    <t>Pittsburgh, PA</t>
  </si>
  <si>
    <t>Buffalo-Cheektowaga, NY</t>
  </si>
  <si>
    <t>Cleveland, OH</t>
  </si>
  <si>
    <t>Rochester, NY</t>
  </si>
  <si>
    <t>Urban Honolulu, HI</t>
  </si>
  <si>
    <t>Milwaukee-Waukesha, WI</t>
  </si>
  <si>
    <t>New Orleans-Metairie, LA</t>
  </si>
  <si>
    <t>1Q 2026</t>
  </si>
  <si>
    <t>4Q 2025</t>
  </si>
  <si>
    <t>Passings</t>
  </si>
  <si>
    <t>Penetration</t>
  </si>
  <si>
    <t>Alphabet</t>
  </si>
  <si>
    <t>2Q 2026</t>
  </si>
  <si>
    <t xml:space="preserve">State </t>
  </si>
  <si>
    <t>12-month change</t>
  </si>
  <si>
    <t>GROWING</t>
  </si>
  <si>
    <t>SHRINKING</t>
  </si>
  <si>
    <t>Texas</t>
  </si>
  <si>
    <t>California</t>
  </si>
  <si>
    <t>North Carolina</t>
  </si>
  <si>
    <t>Florida</t>
  </si>
  <si>
    <t>Minnesota</t>
  </si>
  <si>
    <t>Virginia</t>
  </si>
  <si>
    <t>District of Columbia</t>
  </si>
  <si>
    <t>Oregon</t>
  </si>
  <si>
    <t>New Jersey</t>
  </si>
  <si>
    <t>Indiana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</si>
</sst>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_);_(&quot;$&quot;* \(#,##0\);_(&quot;$&quot;* &quot;-&quot;??_);_(@_)"/>
    <numFmt numFmtId="166" formatCode="[$-409]mmm\-yy;@"/>
    <numFmt numFmtId="167" formatCode="0.0%"/>
    <numFmt numFmtId="168" formatCode="_(* #,##0_);_(* \(#,##0\);_(* &quot;-&quot;??_);_(@_)"/>
    <numFmt numFmtId="169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6" tint="0.3999755851924192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0"/>
      <color rgb="FF000000"/>
      <name val="Tahoma"/>
      <family val="2"/>
    </font>
    <font>
      <b/>
      <sz val="10"/>
      <color rgb="FF333333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rgb="FF333333"/>
      <name val="Tahoma"/>
      <family val="2"/>
    </font>
    <font>
      <sz val="12"/>
      <color rgb="FF000000"/>
      <name val="Tahoma"/>
      <family val="2"/>
    </font>
    <font>
      <strike/>
      <sz val="11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AFF"/>
        <bgColor indexed="64"/>
      </patternFill>
    </fill>
    <fill>
      <patternFill patternType="solid">
        <fgColor rgb="FFEEF4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horizontal="center"/>
    </xf>
    <xf numFmtId="165" fontId="0" fillId="0" borderId="0" xfId="2" applyNumberFormat="1" applyFont="1"/>
    <xf numFmtId="0" fontId="2" fillId="0" borderId="0" xfId="0" applyFont="1"/>
    <xf numFmtId="165" fontId="2" fillId="0" borderId="0" xfId="0" applyNumberFormat="1" applyFont="1"/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NumberFormat="1" applyFont="1" applyBorder="1"/>
    <xf numFmtId="44" fontId="0" fillId="0" borderId="4" xfId="2" applyFont="1" applyBorder="1"/>
    <xf numFmtId="165" fontId="0" fillId="0" borderId="4" xfId="2" applyNumberFormat="1" applyFont="1" applyBorder="1"/>
    <xf numFmtId="16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5" fontId="0" fillId="0" borderId="4" xfId="0" applyNumberFormat="1" applyBorder="1"/>
    <xf numFmtId="9" fontId="0" fillId="0" borderId="4" xfId="3" applyFont="1" applyBorder="1" applyAlignment="1">
      <alignment horizontal="center"/>
    </xf>
    <xf numFmtId="0" fontId="4" fillId="0" borderId="0" xfId="0" applyFont="1"/>
    <xf numFmtId="165" fontId="5" fillId="0" borderId="0" xfId="0" applyNumberFormat="1" applyFont="1"/>
    <xf numFmtId="44" fontId="0" fillId="0" borderId="0" xfId="0" applyNumberFormat="1"/>
    <xf numFmtId="16" fontId="2" fillId="5" borderId="1" xfId="0" applyNumberFormat="1" applyFont="1" applyFill="1" applyBorder="1" applyAlignment="1">
      <alignment horizontal="center"/>
    </xf>
    <xf numFmtId="44" fontId="0" fillId="0" borderId="0" xfId="2" applyFont="1" applyFill="1" applyBorder="1"/>
    <xf numFmtId="165" fontId="0" fillId="0" borderId="0" xfId="2" applyNumberFormat="1" applyFont="1" applyFill="1"/>
    <xf numFmtId="14" fontId="3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165" fontId="0" fillId="3" borderId="0" xfId="2" applyNumberFormat="1" applyFont="1" applyFill="1"/>
    <xf numFmtId="165" fontId="0" fillId="3" borderId="4" xfId="2" applyNumberFormat="1" applyFont="1" applyFill="1" applyBorder="1"/>
    <xf numFmtId="165" fontId="2" fillId="3" borderId="0" xfId="0" applyNumberFormat="1" applyFont="1" applyFill="1"/>
    <xf numFmtId="165" fontId="0" fillId="0" borderId="4" xfId="0" applyNumberFormat="1" applyBorder="1" applyAlignment="1">
      <alignment horizontal="center"/>
    </xf>
    <xf numFmtId="164" fontId="0" fillId="0" borderId="4" xfId="1" applyNumberFormat="1" applyFont="1" applyFill="1" applyBorder="1"/>
    <xf numFmtId="8" fontId="0" fillId="0" borderId="0" xfId="0" applyNumberFormat="1"/>
    <xf numFmtId="6" fontId="0" fillId="0" borderId="0" xfId="0" applyNumberFormat="1"/>
    <xf numFmtId="10" fontId="0" fillId="0" borderId="0" xfId="0" applyNumberFormat="1"/>
    <xf numFmtId="0" fontId="3" fillId="7" borderId="0" xfId="0" applyFont="1" applyFill="1" applyAlignment="1">
      <alignment horizontal="center"/>
    </xf>
    <xf numFmtId="10" fontId="0" fillId="8" borderId="0" xfId="0" applyNumberFormat="1" applyFill="1"/>
    <xf numFmtId="0" fontId="0" fillId="8" borderId="0" xfId="0" applyFill="1"/>
    <xf numFmtId="0" fontId="5" fillId="0" borderId="0" xfId="0" applyFont="1"/>
    <xf numFmtId="0" fontId="3" fillId="7" borderId="0" xfId="0" applyFont="1" applyFill="1" applyAlignment="1">
      <alignment horizontal="left"/>
    </xf>
    <xf numFmtId="167" fontId="0" fillId="0" borderId="0" xfId="3" applyNumberFormat="1" applyFont="1"/>
    <xf numFmtId="165" fontId="0" fillId="0" borderId="4" xfId="2" applyNumberFormat="1" applyFont="1" applyFill="1" applyBorder="1"/>
    <xf numFmtId="14" fontId="0" fillId="0" borderId="0" xfId="0" applyNumberFormat="1"/>
    <xf numFmtId="164" fontId="1" fillId="0" borderId="4" xfId="1" applyNumberFormat="1" applyFont="1" applyFill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center"/>
    </xf>
    <xf numFmtId="0" fontId="0" fillId="0" borderId="9" xfId="0" applyBorder="1"/>
    <xf numFmtId="164" fontId="0" fillId="0" borderId="0" xfId="1" applyNumberFormat="1" applyFont="1" applyBorder="1"/>
    <xf numFmtId="164" fontId="0" fillId="0" borderId="0" xfId="1" applyNumberFormat="1" applyFont="1" applyFill="1" applyBorder="1"/>
    <xf numFmtId="44" fontId="0" fillId="0" borderId="0" xfId="2" applyFont="1" applyBorder="1"/>
    <xf numFmtId="165" fontId="0" fillId="0" borderId="0" xfId="2" applyNumberFormat="1" applyFont="1" applyBorder="1"/>
    <xf numFmtId="165" fontId="0" fillId="0" borderId="0" xfId="0" applyNumberFormat="1"/>
    <xf numFmtId="9" fontId="0" fillId="0" borderId="0" xfId="3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1" fillId="0" borderId="0" xfId="1" applyNumberFormat="1" applyFont="1" applyFill="1" applyBorder="1"/>
    <xf numFmtId="165" fontId="0" fillId="0" borderId="0" xfId="2" applyNumberFormat="1" applyFont="1" applyFill="1" applyBorder="1"/>
    <xf numFmtId="0" fontId="0" fillId="0" borderId="11" xfId="0" applyBorder="1"/>
    <xf numFmtId="0" fontId="2" fillId="0" borderId="9" xfId="0" applyFont="1" applyBorder="1"/>
    <xf numFmtId="165" fontId="0" fillId="0" borderId="0" xfId="3" applyNumberFormat="1" applyFont="1" applyBorder="1"/>
    <xf numFmtId="0" fontId="0" fillId="0" borderId="10" xfId="0" applyBorder="1"/>
    <xf numFmtId="0" fontId="2" fillId="0" borderId="11" xfId="0" applyFont="1" applyBorder="1"/>
    <xf numFmtId="165" fontId="5" fillId="0" borderId="4" xfId="0" applyNumberFormat="1" applyFont="1" applyBorder="1"/>
    <xf numFmtId="0" fontId="0" fillId="0" borderId="12" xfId="0" applyBorder="1"/>
    <xf numFmtId="164" fontId="0" fillId="0" borderId="10" xfId="1" applyNumberFormat="1" applyFont="1" applyFill="1" applyBorder="1"/>
    <xf numFmtId="164" fontId="1" fillId="0" borderId="10" xfId="1" applyNumberFormat="1" applyFont="1" applyFill="1" applyBorder="1"/>
    <xf numFmtId="164" fontId="0" fillId="0" borderId="12" xfId="1" applyNumberFormat="1" applyFont="1" applyFill="1" applyBorder="1"/>
    <xf numFmtId="0" fontId="2" fillId="0" borderId="10" xfId="0" applyFont="1" applyBorder="1"/>
    <xf numFmtId="44" fontId="0" fillId="0" borderId="9" xfId="2" applyFont="1" applyBorder="1"/>
    <xf numFmtId="44" fontId="0" fillId="0" borderId="10" xfId="2" applyFont="1" applyBorder="1"/>
    <xf numFmtId="44" fontId="0" fillId="0" borderId="9" xfId="2" applyFont="1" applyFill="1" applyBorder="1"/>
    <xf numFmtId="44" fontId="0" fillId="0" borderId="10" xfId="2" applyFont="1" applyFill="1" applyBorder="1"/>
    <xf numFmtId="44" fontId="0" fillId="0" borderId="11" xfId="2" applyFont="1" applyBorder="1"/>
    <xf numFmtId="44" fontId="0" fillId="0" borderId="12" xfId="2" applyFont="1" applyBorder="1"/>
    <xf numFmtId="165" fontId="0" fillId="0" borderId="9" xfId="2" applyNumberFormat="1" applyFont="1" applyBorder="1"/>
    <xf numFmtId="165" fontId="0" fillId="0" borderId="10" xfId="0" applyNumberFormat="1" applyBorder="1"/>
    <xf numFmtId="165" fontId="0" fillId="0" borderId="9" xfId="2" applyNumberFormat="1" applyFont="1" applyFill="1" applyBorder="1"/>
    <xf numFmtId="165" fontId="0" fillId="0" borderId="11" xfId="2" applyNumberFormat="1" applyFont="1" applyBorder="1"/>
    <xf numFmtId="165" fontId="0" fillId="0" borderId="12" xfId="0" applyNumberFormat="1" applyBorder="1"/>
    <xf numFmtId="165" fontId="2" fillId="0" borderId="9" xfId="0" applyNumberFormat="1" applyFont="1" applyBorder="1"/>
    <xf numFmtId="165" fontId="2" fillId="0" borderId="10" xfId="0" applyNumberFormat="1" applyFont="1" applyBorder="1"/>
    <xf numFmtId="165" fontId="5" fillId="0" borderId="10" xfId="0" applyNumberFormat="1" applyFont="1" applyBorder="1"/>
    <xf numFmtId="165" fontId="5" fillId="0" borderId="12" xfId="0" applyNumberFormat="1" applyFont="1" applyBorder="1"/>
    <xf numFmtId="44" fontId="0" fillId="5" borderId="9" xfId="2" applyFont="1" applyFill="1" applyBorder="1"/>
    <xf numFmtId="165" fontId="0" fillId="0" borderId="10" xfId="2" applyNumberFormat="1" applyFont="1" applyBorder="1"/>
    <xf numFmtId="44" fontId="0" fillId="5" borderId="11" xfId="2" applyFont="1" applyFill="1" applyBorder="1"/>
    <xf numFmtId="165" fontId="0" fillId="0" borderId="12" xfId="2" applyNumberFormat="1" applyFont="1" applyBorder="1"/>
    <xf numFmtId="44" fontId="0" fillId="0" borderId="10" xfId="0" applyNumberFormat="1" applyBorder="1"/>
    <xf numFmtId="165" fontId="0" fillId="0" borderId="14" xfId="0" applyNumberFormat="1" applyBorder="1"/>
    <xf numFmtId="165" fontId="0" fillId="0" borderId="3" xfId="0" applyNumberFormat="1" applyBorder="1"/>
    <xf numFmtId="0" fontId="0" fillId="0" borderId="14" xfId="0" applyBorder="1"/>
    <xf numFmtId="0" fontId="0" fillId="0" borderId="15" xfId="0" applyBorder="1"/>
    <xf numFmtId="164" fontId="5" fillId="0" borderId="0" xfId="1" applyNumberFormat="1" applyFont="1" applyBorder="1"/>
    <xf numFmtId="164" fontId="1" fillId="0" borderId="12" xfId="1" applyNumberFormat="1" applyFont="1" applyFill="1" applyBorder="1"/>
    <xf numFmtId="44" fontId="1" fillId="0" borderId="9" xfId="2" applyFont="1" applyBorder="1"/>
    <xf numFmtId="44" fontId="1" fillId="0" borderId="0" xfId="2" applyFont="1" applyBorder="1"/>
    <xf numFmtId="165" fontId="2" fillId="0" borderId="3" xfId="0" applyNumberFormat="1" applyFont="1" applyBorder="1"/>
    <xf numFmtId="0" fontId="6" fillId="0" borderId="6" xfId="0" applyFont="1" applyBorder="1"/>
    <xf numFmtId="0" fontId="0" fillId="0" borderId="6" xfId="0" applyBorder="1"/>
    <xf numFmtId="43" fontId="6" fillId="0" borderId="6" xfId="1" applyFont="1" applyBorder="1"/>
    <xf numFmtId="43" fontId="6" fillId="0" borderId="13" xfId="1" applyFont="1" applyBorder="1"/>
    <xf numFmtId="44" fontId="0" fillId="0" borderId="9" xfId="0" applyNumberFormat="1" applyBorder="1"/>
    <xf numFmtId="0" fontId="5" fillId="0" borderId="10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0" fillId="0" borderId="5" xfId="0" applyBorder="1"/>
    <xf numFmtId="0" fontId="0" fillId="9" borderId="0" xfId="0" applyFill="1"/>
    <xf numFmtId="0" fontId="0" fillId="9" borderId="7" xfId="0" applyFill="1" applyBorder="1"/>
    <xf numFmtId="0" fontId="5" fillId="9" borderId="7" xfId="0" applyFont="1" applyFill="1" applyBorder="1" applyAlignment="1">
      <alignment horizontal="right"/>
    </xf>
    <xf numFmtId="165" fontId="5" fillId="9" borderId="7" xfId="0" applyNumberFormat="1" applyFont="1" applyFill="1" applyBorder="1"/>
    <xf numFmtId="0" fontId="0" fillId="9" borderId="8" xfId="0" applyFill="1" applyBorder="1"/>
    <xf numFmtId="0" fontId="0" fillId="9" borderId="10" xfId="0" applyFill="1" applyBorder="1"/>
    <xf numFmtId="0" fontId="0" fillId="9" borderId="4" xfId="0" applyFill="1" applyBorder="1"/>
    <xf numFmtId="0" fontId="5" fillId="9" borderId="4" xfId="0" applyFont="1" applyFill="1" applyBorder="1" applyAlignment="1">
      <alignment horizontal="right"/>
    </xf>
    <xf numFmtId="165" fontId="5" fillId="9" borderId="4" xfId="0" applyNumberFormat="1" applyFont="1" applyFill="1" applyBorder="1"/>
    <xf numFmtId="0" fontId="0" fillId="9" borderId="12" xfId="0" applyFill="1" applyBorder="1"/>
    <xf numFmtId="0" fontId="2" fillId="9" borderId="7" xfId="0" applyFont="1" applyFill="1" applyBorder="1"/>
    <xf numFmtId="0" fontId="2" fillId="9" borderId="4" xfId="0" applyFont="1" applyFill="1" applyBorder="1"/>
    <xf numFmtId="0" fontId="2" fillId="4" borderId="6" xfId="0" applyFont="1" applyFill="1" applyBorder="1"/>
    <xf numFmtId="0" fontId="0" fillId="4" borderId="6" xfId="0" applyFill="1" applyBorder="1"/>
    <xf numFmtId="0" fontId="5" fillId="4" borderId="6" xfId="0" applyFont="1" applyFill="1" applyBorder="1" applyAlignment="1">
      <alignment horizontal="right"/>
    </xf>
    <xf numFmtId="165" fontId="5" fillId="4" borderId="6" xfId="0" applyNumberFormat="1" applyFont="1" applyFill="1" applyBorder="1"/>
    <xf numFmtId="0" fontId="2" fillId="4" borderId="4" xfId="0" applyFont="1" applyFill="1" applyBorder="1"/>
    <xf numFmtId="0" fontId="0" fillId="4" borderId="4" xfId="0" applyFill="1" applyBorder="1"/>
    <xf numFmtId="0" fontId="5" fillId="4" borderId="4" xfId="0" applyFont="1" applyFill="1" applyBorder="1" applyAlignment="1">
      <alignment horizontal="right"/>
    </xf>
    <xf numFmtId="165" fontId="5" fillId="4" borderId="4" xfId="0" applyNumberFormat="1" applyFont="1" applyFill="1" applyBorder="1"/>
    <xf numFmtId="0" fontId="0" fillId="4" borderId="12" xfId="0" applyFill="1" applyBorder="1"/>
    <xf numFmtId="0" fontId="0" fillId="4" borderId="10" xfId="0" applyFill="1" applyBorder="1"/>
    <xf numFmtId="0" fontId="0" fillId="4" borderId="14" xfId="0" applyFill="1" applyBorder="1"/>
    <xf numFmtId="0" fontId="0" fillId="4" borderId="0" xfId="0" applyFill="1"/>
    <xf numFmtId="0" fontId="0" fillId="9" borderId="14" xfId="0" applyFill="1" applyBorder="1"/>
    <xf numFmtId="0" fontId="0" fillId="9" borderId="9" xfId="0" applyFill="1" applyBorder="1"/>
    <xf numFmtId="0" fontId="0" fillId="4" borderId="7" xfId="0" applyFill="1" applyBorder="1"/>
    <xf numFmtId="0" fontId="0" fillId="4" borderId="8" xfId="0" applyFill="1" applyBorder="1"/>
    <xf numFmtId="0" fontId="2" fillId="0" borderId="2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/>
    </xf>
    <xf numFmtId="0" fontId="2" fillId="0" borderId="15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10" borderId="1" xfId="0" applyFont="1" applyFill="1" applyBorder="1" applyAlignment="1">
      <alignment horizontal="center"/>
    </xf>
    <xf numFmtId="168" fontId="0" fillId="0" borderId="0" xfId="1" applyNumberFormat="1" applyFont="1" applyAlignment="1"/>
    <xf numFmtId="43" fontId="0" fillId="0" borderId="0" xfId="1" applyFont="1"/>
    <xf numFmtId="168" fontId="0" fillId="0" borderId="0" xfId="0" applyNumberFormat="1"/>
    <xf numFmtId="168" fontId="0" fillId="0" borderId="0" xfId="1" applyNumberFormat="1" applyFont="1" applyFill="1" applyAlignment="1"/>
    <xf numFmtId="43" fontId="0" fillId="0" borderId="0" xfId="1" applyFont="1" applyFill="1"/>
    <xf numFmtId="168" fontId="0" fillId="0" borderId="0" xfId="1" applyNumberFormat="1" applyFont="1" applyFill="1"/>
    <xf numFmtId="168" fontId="0" fillId="0" borderId="0" xfId="1" applyNumberFormat="1" applyFont="1" applyFill="1" applyBorder="1" applyAlignment="1"/>
    <xf numFmtId="168" fontId="1" fillId="0" borderId="0" xfId="1" applyNumberFormat="1" applyFont="1" applyFill="1"/>
    <xf numFmtId="168" fontId="2" fillId="0" borderId="0" xfId="1" applyNumberFormat="1" applyFont="1"/>
    <xf numFmtId="0" fontId="8" fillId="0" borderId="0" xfId="0" applyFont="1"/>
    <xf numFmtId="0" fontId="9" fillId="0" borderId="0" xfId="0" applyFont="1"/>
    <xf numFmtId="0" fontId="3" fillId="7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8" fontId="0" fillId="0" borderId="0" xfId="1" applyNumberFormat="1" applyFont="1"/>
    <xf numFmtId="0" fontId="2" fillId="0" borderId="0" xfId="0" applyFont="1" applyAlignment="1">
      <alignment wrapText="1"/>
    </xf>
    <xf numFmtId="0" fontId="0" fillId="0" borderId="4" xfId="0" applyBorder="1" applyAlignment="1">
      <alignment wrapText="1"/>
    </xf>
    <xf numFmtId="165" fontId="1" fillId="0" borderId="0" xfId="2" applyNumberFormat="1" applyFont="1"/>
    <xf numFmtId="168" fontId="10" fillId="0" borderId="0" xfId="1" applyNumberFormat="1" applyFont="1"/>
    <xf numFmtId="0" fontId="0" fillId="11" borderId="0" xfId="0" applyFill="1" applyAlignment="1">
      <alignment horizontal="center"/>
    </xf>
    <xf numFmtId="168" fontId="0" fillId="11" borderId="0" xfId="1" applyNumberFormat="1" applyFont="1" applyFill="1" applyBorder="1" applyAlignment="1"/>
    <xf numFmtId="0" fontId="0" fillId="11" borderId="0" xfId="0" applyFill="1"/>
    <xf numFmtId="168" fontId="0" fillId="11" borderId="0" xfId="0" applyNumberFormat="1" applyFill="1"/>
    <xf numFmtId="168" fontId="0" fillId="11" borderId="0" xfId="1" applyNumberFormat="1" applyFont="1" applyFill="1"/>
    <xf numFmtId="168" fontId="0" fillId="11" borderId="0" xfId="1" applyNumberFormat="1" applyFont="1" applyFill="1" applyAlignment="1"/>
    <xf numFmtId="168" fontId="0" fillId="0" borderId="0" xfId="1" applyNumberFormat="1" applyFont="1" applyFill="1" applyAlignment="1">
      <alignment wrapText="1"/>
    </xf>
    <xf numFmtId="168" fontId="0" fillId="0" borderId="4" xfId="1" applyNumberFormat="1" applyFont="1" applyFill="1" applyBorder="1"/>
    <xf numFmtId="167" fontId="5" fillId="0" borderId="0" xfId="3" applyNumberFormat="1" applyFont="1" applyFill="1"/>
    <xf numFmtId="168" fontId="0" fillId="0" borderId="4" xfId="1" applyNumberFormat="1" applyFont="1" applyFill="1" applyBorder="1" applyAlignment="1">
      <alignment wrapText="1"/>
    </xf>
    <xf numFmtId="0" fontId="11" fillId="0" borderId="0" xfId="4"/>
    <xf numFmtId="165" fontId="5" fillId="4" borderId="7" xfId="0" applyNumberFormat="1" applyFont="1" applyFill="1" applyBorder="1"/>
    <xf numFmtId="0" fontId="5" fillId="4" borderId="7" xfId="0" applyFont="1" applyFill="1" applyBorder="1" applyAlignment="1">
      <alignment horizontal="right"/>
    </xf>
    <xf numFmtId="44" fontId="0" fillId="0" borderId="3" xfId="2" applyFont="1" applyBorder="1"/>
    <xf numFmtId="0" fontId="12" fillId="7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168" fontId="0" fillId="0" borderId="0" xfId="1" applyNumberFormat="1" applyFont="1" applyFill="1" applyBorder="1"/>
    <xf numFmtId="165" fontId="2" fillId="0" borderId="0" xfId="2" applyNumberFormat="1" applyFont="1" applyBorder="1"/>
    <xf numFmtId="168" fontId="5" fillId="0" borderId="0" xfId="1" applyNumberFormat="1" applyFont="1" applyFill="1"/>
    <xf numFmtId="168" fontId="10" fillId="0" borderId="0" xfId="1" applyNumberFormat="1" applyFont="1" applyFill="1" applyAlignment="1">
      <alignment wrapText="1"/>
    </xf>
    <xf numFmtId="168" fontId="1" fillId="0" borderId="0" xfId="1" applyNumberFormat="1" applyFont="1" applyFill="1" applyBorder="1"/>
    <xf numFmtId="168" fontId="13" fillId="0" borderId="0" xfId="1" applyNumberFormat="1" applyFont="1" applyFill="1"/>
    <xf numFmtId="0" fontId="2" fillId="0" borderId="10" xfId="0" applyFont="1" applyBorder="1" applyAlignment="1">
      <alignment horizontal="centerContinuous" vertical="center" wrapText="1"/>
    </xf>
    <xf numFmtId="168" fontId="2" fillId="0" borderId="0" xfId="0" applyNumberFormat="1" applyFont="1"/>
    <xf numFmtId="167" fontId="0" fillId="0" borderId="0" xfId="3" applyNumberFormat="1" applyFont="1" applyFill="1"/>
    <xf numFmtId="165" fontId="0" fillId="12" borderId="0" xfId="2" applyNumberFormat="1" applyFont="1" applyFill="1"/>
    <xf numFmtId="165" fontId="1" fillId="12" borderId="0" xfId="2" applyNumberFormat="1" applyFont="1" applyFill="1"/>
    <xf numFmtId="0" fontId="0" fillId="9" borderId="3" xfId="0" applyFill="1" applyBorder="1"/>
    <xf numFmtId="0" fontId="0" fillId="9" borderId="11" xfId="0" applyFill="1" applyBorder="1"/>
    <xf numFmtId="0" fontId="0" fillId="0" borderId="3" xfId="0" applyBorder="1"/>
    <xf numFmtId="0" fontId="14" fillId="13" borderId="0" xfId="0" applyFont="1" applyFill="1" applyAlignment="1">
      <alignment horizontal="center" wrapText="1"/>
    </xf>
    <xf numFmtId="16" fontId="14" fillId="13" borderId="0" xfId="0" applyNumberFormat="1" applyFont="1" applyFill="1" applyAlignment="1">
      <alignment horizontal="center" wrapText="1"/>
    </xf>
    <xf numFmtId="17" fontId="14" fillId="13" borderId="0" xfId="0" quotePrefix="1" applyNumberFormat="1" applyFont="1" applyFill="1" applyAlignment="1">
      <alignment horizontal="center" wrapText="1"/>
    </xf>
    <xf numFmtId="0" fontId="15" fillId="14" borderId="0" xfId="0" applyFont="1" applyFill="1" applyAlignment="1">
      <alignment horizontal="left" vertical="center" wrapText="1"/>
    </xf>
    <xf numFmtId="0" fontId="16" fillId="15" borderId="0" xfId="0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/>
    </xf>
    <xf numFmtId="3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1"/>
    </xf>
    <xf numFmtId="3" fontId="16" fillId="15" borderId="0" xfId="0" applyNumberFormat="1" applyFont="1" applyFill="1" applyAlignment="1">
      <alignment horizontal="right" vertical="center" wrapText="1"/>
    </xf>
    <xf numFmtId="0" fontId="15" fillId="16" borderId="0" xfId="0" applyFont="1" applyFill="1" applyAlignment="1">
      <alignment horizontal="left" vertical="center" wrapText="1" indent="2"/>
    </xf>
    <xf numFmtId="0" fontId="16" fillId="17" borderId="0" xfId="0" applyFont="1" applyFill="1" applyAlignment="1">
      <alignment horizontal="right" vertical="center" wrapText="1"/>
    </xf>
    <xf numFmtId="169" fontId="16" fillId="17" borderId="0" xfId="0" applyNumberFormat="1" applyFont="1" applyFill="1" applyAlignment="1">
      <alignment horizontal="right" vertical="center" wrapText="1"/>
    </xf>
    <xf numFmtId="0" fontId="15" fillId="14" borderId="0" xfId="0" applyFont="1" applyFill="1" applyAlignment="1">
      <alignment horizontal="left" vertical="center" wrapText="1" indent="2"/>
    </xf>
    <xf numFmtId="0" fontId="15" fillId="16" borderId="0" xfId="0" applyFont="1" applyFill="1" applyAlignment="1">
      <alignment horizontal="left" vertical="center" wrapText="1" indent="3"/>
    </xf>
    <xf numFmtId="0" fontId="16" fillId="18" borderId="0" xfId="0" applyFont="1" applyFill="1" applyAlignment="1">
      <alignment horizontal="right" vertical="center" wrapText="1"/>
    </xf>
    <xf numFmtId="0" fontId="0" fillId="20" borderId="0" xfId="0" applyFill="1"/>
    <xf numFmtId="3" fontId="16" fillId="18" borderId="0" xfId="0" applyNumberFormat="1" applyFont="1" applyFill="1" applyAlignment="1">
      <alignment horizontal="right" vertical="center" wrapText="1"/>
    </xf>
    <xf numFmtId="0" fontId="0" fillId="0" borderId="16" xfId="0" applyBorder="1"/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1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0" fillId="12" borderId="0" xfId="0" applyFill="1" applyAlignment="1">
      <alignment horizontal="center"/>
    </xf>
    <xf numFmtId="168" fontId="0" fillId="12" borderId="0" xfId="1" applyNumberFormat="1" applyFont="1" applyFill="1" applyBorder="1" applyAlignment="1"/>
    <xf numFmtId="0" fontId="0" fillId="12" borderId="0" xfId="0" applyFill="1"/>
    <xf numFmtId="168" fontId="0" fillId="12" borderId="0" xfId="0" applyNumberFormat="1" applyFill="1"/>
    <xf numFmtId="168" fontId="1" fillId="12" borderId="0" xfId="1" applyNumberFormat="1" applyFont="1" applyFill="1"/>
    <xf numFmtId="168" fontId="0" fillId="12" borderId="0" xfId="1" applyNumberFormat="1" applyFont="1" applyFill="1"/>
    <xf numFmtId="164" fontId="1" fillId="0" borderId="8" xfId="1" applyNumberFormat="1" applyFont="1" applyFill="1" applyBorder="1"/>
    <xf numFmtId="164" fontId="0" fillId="0" borderId="2" xfId="1" applyNumberFormat="1" applyFont="1" applyFill="1" applyBorder="1"/>
    <xf numFmtId="164" fontId="0" fillId="0" borderId="14" xfId="1" applyNumberFormat="1" applyFont="1" applyFill="1" applyBorder="1"/>
    <xf numFmtId="164" fontId="1" fillId="0" borderId="14" xfId="1" applyNumberFormat="1" applyFont="1" applyFill="1" applyBorder="1"/>
    <xf numFmtId="164" fontId="0" fillId="0" borderId="3" xfId="1" applyNumberFormat="1" applyFont="1" applyFill="1" applyBorder="1"/>
    <xf numFmtId="164" fontId="1" fillId="0" borderId="3" xfId="1" applyNumberFormat="1" applyFont="1" applyFill="1" applyBorder="1"/>
    <xf numFmtId="168" fontId="1" fillId="12" borderId="0" xfId="1" applyNumberFormat="1" applyFont="1" applyFill="1" applyBorder="1"/>
    <xf numFmtId="0" fontId="20" fillId="0" borderId="0" xfId="0" applyFont="1" applyAlignment="1">
      <alignment horizontal="center"/>
    </xf>
    <xf numFmtId="14" fontId="20" fillId="0" borderId="0" xfId="0" applyNumberFormat="1" applyFont="1" applyAlignment="1">
      <alignment horizontal="center"/>
    </xf>
    <xf numFmtId="167" fontId="5" fillId="0" borderId="0" xfId="3" applyNumberFormat="1" applyFont="1"/>
    <xf numFmtId="0" fontId="3" fillId="12" borderId="0" xfId="0" applyFont="1" applyFill="1"/>
    <xf numFmtId="0" fontId="0" fillId="0" borderId="1" xfId="0" applyBorder="1"/>
    <xf numFmtId="0" fontId="0" fillId="12" borderId="1" xfId="0" applyFill="1" applyBorder="1"/>
    <xf numFmtId="168" fontId="0" fillId="0" borderId="1" xfId="1" applyNumberFormat="1" applyFont="1" applyBorder="1"/>
    <xf numFmtId="0" fontId="7" fillId="9" borderId="15" xfId="0" applyFont="1" applyFill="1" applyBorder="1" applyAlignment="1">
      <alignment horizontal="center" vertical="center" textRotation="90"/>
    </xf>
    <xf numFmtId="0" fontId="7" fillId="9" borderId="9" xfId="0" applyFont="1" applyFill="1" applyBorder="1" applyAlignment="1">
      <alignment horizontal="center" vertical="center" textRotation="90"/>
    </xf>
    <xf numFmtId="0" fontId="7" fillId="9" borderId="11" xfId="0" applyFont="1" applyFill="1" applyBorder="1" applyAlignment="1">
      <alignment horizontal="center" vertical="center" textRotation="90"/>
    </xf>
    <xf numFmtId="0" fontId="7" fillId="4" borderId="15" xfId="0" applyFont="1" applyFill="1" applyBorder="1" applyAlignment="1">
      <alignment horizontal="center" vertical="center" textRotation="90"/>
    </xf>
    <xf numFmtId="0" fontId="7" fillId="4" borderId="9" xfId="0" applyFont="1" applyFill="1" applyBorder="1" applyAlignment="1">
      <alignment horizontal="center" vertical="center" textRotation="90"/>
    </xf>
    <xf numFmtId="0" fontId="7" fillId="4" borderId="11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6" fillId="19" borderId="0" xfId="0" applyFont="1" applyFill="1" applyAlignment="1">
      <alignment horizontal="right" vertical="center" wrapText="1"/>
    </xf>
    <xf numFmtId="0" fontId="16" fillId="15" borderId="0" xfId="0" applyFont="1" applyFill="1" applyAlignment="1">
      <alignment horizontal="right" vertical="center" wrapText="1"/>
    </xf>
    <xf numFmtId="0" fontId="14" fillId="13" borderId="0" xfId="0" applyFont="1" applyFill="1" applyAlignment="1">
      <alignment horizont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qydj.com/stock-return-calculator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videndchannel.com/drip-returns-calculator/" TargetMode="External"/><Relationship Id="rId1" Type="http://schemas.openxmlformats.org/officeDocument/2006/relationships/hyperlink" Target="https://dqydj.com/stock-return-calculat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3A67-9772-4F02-9291-F0BB4BBA35D8}">
  <sheetPr>
    <pageSetUpPr fitToPage="1"/>
  </sheetPr>
  <dimension ref="A1:CL38"/>
  <sheetViews>
    <sheetView showGridLines="0" tabSelected="1" topLeftCell="AQ1" zoomScale="90" zoomScaleNormal="90" workbookViewId="0">
      <selection activeCell="CG15" sqref="CG15"/>
    </sheetView>
  </sheetViews>
  <sheetFormatPr defaultRowHeight="14.4" x14ac:dyDescent="0.55000000000000004"/>
  <cols>
    <col min="2" max="2" width="17.47265625" customWidth="1"/>
    <col min="3" max="3" width="10.41796875" customWidth="1"/>
    <col min="4" max="7" width="10.41796875" hidden="1" customWidth="1"/>
    <col min="8" max="8" width="9.68359375" hidden="1" customWidth="1"/>
    <col min="9" max="10" width="9.83984375" hidden="1" customWidth="1"/>
    <col min="11" max="11" width="10.05078125" hidden="1" customWidth="1"/>
    <col min="12" max="14" width="10.05078125" customWidth="1"/>
    <col min="15" max="15" width="1.26171875" customWidth="1"/>
    <col min="16" max="18" width="10.41796875" hidden="1" customWidth="1"/>
    <col min="19" max="19" width="11.26171875" hidden="1" customWidth="1"/>
    <col min="20" max="20" width="10.41796875" hidden="1" customWidth="1"/>
    <col min="21" max="23" width="10.9453125" customWidth="1"/>
    <col min="24" max="24" width="1.26171875" customWidth="1"/>
    <col min="25" max="25" width="9.578125" hidden="1" customWidth="1"/>
    <col min="26" max="26" width="9.68359375" hidden="1" customWidth="1"/>
    <col min="27" max="27" width="9.578125" hidden="1" customWidth="1"/>
    <col min="28" max="29" width="9.68359375" hidden="1" customWidth="1"/>
    <col min="30" max="32" width="9.68359375" customWidth="1"/>
    <col min="33" max="33" width="1.26171875" customWidth="1"/>
    <col min="34" max="37" width="0" hidden="1" customWidth="1"/>
    <col min="38" max="38" width="11" customWidth="1"/>
    <col min="39" max="39" width="8" customWidth="1"/>
    <col min="40" max="40" width="12.83984375" customWidth="1"/>
    <col min="41" max="41" width="1.26171875" customWidth="1"/>
    <col min="42" max="42" width="11" customWidth="1"/>
    <col min="43" max="43" width="1.26171875" customWidth="1"/>
    <col min="44" max="44" width="9.1015625" customWidth="1"/>
    <col min="45" max="75" width="9.1015625" hidden="1" customWidth="1"/>
    <col min="76" max="77" width="9.1015625" customWidth="1"/>
    <col min="80" max="80" width="1" customWidth="1"/>
  </cols>
  <sheetData>
    <row r="1" spans="1:86" ht="15.4" customHeight="1" x14ac:dyDescent="0.55000000000000004">
      <c r="A1" s="3" t="s">
        <v>33</v>
      </c>
    </row>
    <row r="2" spans="1:86" x14ac:dyDescent="0.55000000000000004">
      <c r="A2" s="3" t="s">
        <v>34</v>
      </c>
      <c r="AM2" t="s">
        <v>25</v>
      </c>
    </row>
    <row r="3" spans="1:86" x14ac:dyDescent="0.55000000000000004">
      <c r="A3" s="3" t="s">
        <v>36</v>
      </c>
    </row>
    <row r="4" spans="1:86" x14ac:dyDescent="0.55000000000000004">
      <c r="B4" s="3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CD4" t="s">
        <v>25</v>
      </c>
      <c r="CE4" t="s">
        <v>25</v>
      </c>
      <c r="CF4" t="s">
        <v>25</v>
      </c>
    </row>
    <row r="5" spans="1:86" ht="4.5" customHeight="1" x14ac:dyDescent="0.55000000000000004">
      <c r="A5" s="234" t="s">
        <v>30</v>
      </c>
      <c r="B5" s="114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6"/>
      <c r="V5" s="106"/>
      <c r="W5" s="106"/>
      <c r="X5" s="105"/>
      <c r="Y5" s="105"/>
      <c r="Z5" s="107"/>
      <c r="AA5" s="107"/>
      <c r="AB5" s="107"/>
      <c r="AC5" s="107"/>
      <c r="AD5" s="107"/>
      <c r="AE5" s="107"/>
      <c r="AF5" s="107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8"/>
    </row>
    <row r="6" spans="1:86" ht="29.55" customHeight="1" x14ac:dyDescent="0.55000000000000004">
      <c r="A6" s="235"/>
      <c r="B6" s="132" t="s">
        <v>26</v>
      </c>
      <c r="C6" s="133"/>
      <c r="D6" s="134" t="s">
        <v>26</v>
      </c>
      <c r="E6" s="135"/>
      <c r="F6" s="135"/>
      <c r="G6" s="135"/>
      <c r="H6" s="135"/>
      <c r="I6" s="135"/>
      <c r="J6" s="136"/>
      <c r="K6" s="180"/>
      <c r="L6" s="180"/>
      <c r="M6" s="180"/>
      <c r="N6" s="180"/>
      <c r="O6" s="128"/>
      <c r="U6" s="243" t="s">
        <v>27</v>
      </c>
      <c r="V6" s="244"/>
      <c r="W6" s="244"/>
      <c r="X6" s="208"/>
      <c r="Y6" s="206"/>
      <c r="Z6" s="206"/>
      <c r="AA6" s="207"/>
      <c r="AB6" s="206"/>
      <c r="AC6" s="206"/>
      <c r="AD6" s="244" t="s">
        <v>168</v>
      </c>
      <c r="AE6" s="244"/>
      <c r="AF6" s="245"/>
      <c r="AG6" s="128"/>
      <c r="AH6" s="41"/>
      <c r="AI6" s="41"/>
      <c r="AJ6" s="41"/>
      <c r="AK6" s="41"/>
      <c r="AL6" s="240" t="s">
        <v>167</v>
      </c>
      <c r="AM6" s="241"/>
      <c r="AN6" s="242"/>
      <c r="AO6" s="104"/>
      <c r="AP6" s="89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2"/>
      <c r="CB6" s="109"/>
    </row>
    <row r="7" spans="1:86" ht="30.4" customHeight="1" x14ac:dyDescent="0.55000000000000004">
      <c r="A7" s="235"/>
      <c r="B7" s="138" t="s">
        <v>0</v>
      </c>
      <c r="C7" s="13" t="s">
        <v>75</v>
      </c>
      <c r="D7" s="10">
        <v>43465</v>
      </c>
      <c r="E7" s="10">
        <v>43830</v>
      </c>
      <c r="F7" s="10">
        <v>44196</v>
      </c>
      <c r="G7" s="10">
        <v>44531</v>
      </c>
      <c r="H7" s="10">
        <v>44926</v>
      </c>
      <c r="I7" s="10">
        <v>45291</v>
      </c>
      <c r="J7" s="10">
        <v>45657</v>
      </c>
      <c r="K7" s="10">
        <v>45838</v>
      </c>
      <c r="L7" s="10">
        <v>46022</v>
      </c>
      <c r="M7" s="10">
        <v>46112</v>
      </c>
      <c r="N7" s="10">
        <v>46174</v>
      </c>
      <c r="O7" s="128"/>
      <c r="P7" s="10">
        <v>43465</v>
      </c>
      <c r="Q7" s="10">
        <v>43830</v>
      </c>
      <c r="R7" s="10">
        <v>44196</v>
      </c>
      <c r="S7" s="10">
        <v>44561</v>
      </c>
      <c r="T7" s="10">
        <v>44896</v>
      </c>
      <c r="U7" s="10">
        <v>45291</v>
      </c>
      <c r="V7" s="10">
        <v>45657</v>
      </c>
      <c r="W7" s="10">
        <v>46022</v>
      </c>
      <c r="X7" s="128"/>
      <c r="Y7" s="10">
        <v>43465</v>
      </c>
      <c r="Z7" s="10">
        <v>43830</v>
      </c>
      <c r="AA7" s="10">
        <v>44196</v>
      </c>
      <c r="AB7" s="10">
        <v>44561</v>
      </c>
      <c r="AC7" s="10">
        <v>44896</v>
      </c>
      <c r="AD7" s="10">
        <v>45261</v>
      </c>
      <c r="AE7" s="10">
        <v>45657</v>
      </c>
      <c r="AF7" s="10">
        <v>46022</v>
      </c>
      <c r="AG7" s="128"/>
      <c r="AI7" s="11" t="s">
        <v>11</v>
      </c>
      <c r="AJ7" s="43" t="s">
        <v>22</v>
      </c>
      <c r="AL7" s="19">
        <v>46262</v>
      </c>
      <c r="AM7" s="13" t="s">
        <v>23</v>
      </c>
      <c r="AN7" s="13" t="s">
        <v>24</v>
      </c>
      <c r="AO7" s="129"/>
      <c r="AP7" s="13" t="s">
        <v>35</v>
      </c>
      <c r="AQ7" s="88"/>
      <c r="AR7" s="12" t="s">
        <v>169</v>
      </c>
      <c r="AS7" s="12">
        <v>46031</v>
      </c>
      <c r="AT7" s="12">
        <v>46038</v>
      </c>
      <c r="AU7" s="12">
        <v>46045</v>
      </c>
      <c r="AV7" s="12">
        <v>46052</v>
      </c>
      <c r="AW7" s="12">
        <v>46059</v>
      </c>
      <c r="AX7" s="12">
        <v>46066</v>
      </c>
      <c r="AY7" s="12">
        <v>46073</v>
      </c>
      <c r="AZ7" s="12">
        <v>46080</v>
      </c>
      <c r="BA7" s="12">
        <v>46087</v>
      </c>
      <c r="BB7" s="12">
        <v>46094</v>
      </c>
      <c r="BC7" s="12">
        <v>46101</v>
      </c>
      <c r="BD7" s="12">
        <v>46108</v>
      </c>
      <c r="BE7" s="12">
        <v>46114</v>
      </c>
      <c r="BF7" s="12">
        <v>46122</v>
      </c>
      <c r="BG7" s="12">
        <v>46129</v>
      </c>
      <c r="BH7" s="12">
        <v>46136</v>
      </c>
      <c r="BI7" s="12">
        <v>46143</v>
      </c>
      <c r="BJ7" s="12">
        <v>46150</v>
      </c>
      <c r="BK7" s="12">
        <v>46157</v>
      </c>
      <c r="BL7" s="12">
        <v>46164</v>
      </c>
      <c r="BM7" s="12">
        <v>46171</v>
      </c>
      <c r="BN7" s="12">
        <v>46178</v>
      </c>
      <c r="BO7" s="12">
        <v>46185</v>
      </c>
      <c r="BP7" s="12">
        <v>46192</v>
      </c>
      <c r="BQ7" s="12">
        <v>46199</v>
      </c>
      <c r="BR7" s="12">
        <v>46205</v>
      </c>
      <c r="BS7" s="12">
        <v>46213</v>
      </c>
      <c r="BT7" s="12">
        <v>46220</v>
      </c>
      <c r="BU7" s="12">
        <v>46227</v>
      </c>
      <c r="BV7" s="12">
        <v>46234</v>
      </c>
      <c r="BW7" s="12">
        <v>46241</v>
      </c>
      <c r="BX7" s="12">
        <v>46248</v>
      </c>
      <c r="BY7" s="12">
        <v>46255</v>
      </c>
      <c r="BZ7" s="13" t="s">
        <v>38</v>
      </c>
      <c r="CA7" s="13" t="s">
        <v>170</v>
      </c>
      <c r="CB7" s="109"/>
    </row>
    <row r="8" spans="1:86" x14ac:dyDescent="0.55000000000000004">
      <c r="A8" s="235"/>
      <c r="B8" s="44" t="s">
        <v>2</v>
      </c>
      <c r="C8" s="1" t="s">
        <v>3</v>
      </c>
      <c r="D8" s="45">
        <v>4715.28</v>
      </c>
      <c r="E8" s="45">
        <v>4373.4799999999996</v>
      </c>
      <c r="F8" s="45">
        <v>16788</v>
      </c>
      <c r="G8" s="45">
        <v>16319.441000000001</v>
      </c>
      <c r="H8" s="46">
        <v>15821.946</v>
      </c>
      <c r="I8" s="46">
        <v>15441.880999999999</v>
      </c>
      <c r="J8" s="62">
        <v>15022.073</v>
      </c>
      <c r="K8" s="62">
        <v>14840.39</v>
      </c>
      <c r="L8" s="221">
        <v>14681.14</v>
      </c>
      <c r="M8" s="62">
        <v>14687.356</v>
      </c>
      <c r="N8" s="62">
        <v>14594.2</v>
      </c>
      <c r="O8" s="128"/>
      <c r="P8" s="66">
        <v>155.41</v>
      </c>
      <c r="Q8" s="47">
        <v>293.64999999999998</v>
      </c>
      <c r="R8" s="47">
        <v>131.97</v>
      </c>
      <c r="S8" s="47">
        <v>177.57</v>
      </c>
      <c r="T8" s="47">
        <v>129.93</v>
      </c>
      <c r="U8" s="67">
        <v>192.53</v>
      </c>
      <c r="V8" s="67">
        <v>250.42</v>
      </c>
      <c r="W8" s="67">
        <v>271.86</v>
      </c>
      <c r="X8" s="128"/>
      <c r="Y8" s="72">
        <f t="shared" ref="Y8:Z12" si="0">+P8*D8/1000</f>
        <v>732.80166479999991</v>
      </c>
      <c r="Z8" s="48">
        <f t="shared" si="0"/>
        <v>1284.2724019999998</v>
      </c>
      <c r="AA8" s="49">
        <f>+F8*R8/1000</f>
        <v>2215.5123599999997</v>
      </c>
      <c r="AB8" s="49">
        <f t="shared" ref="AB8:AC12" si="1">+(S8*G8)/1000</f>
        <v>2897.8431383699999</v>
      </c>
      <c r="AC8" s="49">
        <f t="shared" si="1"/>
        <v>2055.7454437800002</v>
      </c>
      <c r="AD8" s="73">
        <v>2994.3713425600004</v>
      </c>
      <c r="AE8" s="73">
        <v>3785.30439566</v>
      </c>
      <c r="AF8" s="73">
        <f>+(W8*M8)/1000</f>
        <v>3992.9046021600002</v>
      </c>
      <c r="AG8" s="128"/>
      <c r="AI8" s="48">
        <v>205.898</v>
      </c>
      <c r="AJ8">
        <v>116.75</v>
      </c>
      <c r="AL8" s="81">
        <v>319.7</v>
      </c>
      <c r="AM8" s="50">
        <f>+AL8/W8-1</f>
        <v>0.17597292724196278</v>
      </c>
      <c r="AN8" s="82">
        <f t="shared" ref="AN8:AN12" si="2">+AP8-AF8</f>
        <v>672.86113783999963</v>
      </c>
      <c r="AO8" s="129"/>
      <c r="AP8" s="86">
        <f>+AL8*N8/1000</f>
        <v>4665.7657399999998</v>
      </c>
      <c r="AQ8" s="88"/>
      <c r="AR8" s="48">
        <v>254.55051453999931</v>
      </c>
      <c r="AS8" s="48">
        <v>-184.55664897000042</v>
      </c>
      <c r="AT8" s="48">
        <v>-241.29784449000044</v>
      </c>
      <c r="AU8" s="48">
        <v>-351.97272846000033</v>
      </c>
      <c r="AV8" s="48">
        <v>-182.93125014000043</v>
      </c>
      <c r="AW8" s="48">
        <v>91.903936400000021</v>
      </c>
      <c r="AX8" s="48">
        <v>-236.07273119999991</v>
      </c>
      <c r="AY8" s="48">
        <v>-106.87869920000003</v>
      </c>
      <c r="AZ8" s="48">
        <v>-112.75115519999963</v>
      </c>
      <c r="BA8" s="48">
        <v>-211.40841600000067</v>
      </c>
      <c r="BB8" s="48">
        <v>-319.16798359999984</v>
      </c>
      <c r="BC8" s="48">
        <v>-350.43881179999971</v>
      </c>
      <c r="BD8" s="48">
        <v>-338.54708839999967</v>
      </c>
      <c r="BE8" s="48">
        <v>-234.01737159999993</v>
      </c>
      <c r="BF8" s="48">
        <v>-167</v>
      </c>
      <c r="BG8" s="48">
        <v>-23.930258200000026</v>
      </c>
      <c r="BH8" s="48">
        <v>-11.744911999999658</v>
      </c>
      <c r="BI8" s="48">
        <v>121.61130767999975</v>
      </c>
      <c r="BJ8" s="48">
        <v>315.19065975999956</v>
      </c>
      <c r="BK8" s="48">
        <v>416.68028972000002</v>
      </c>
      <c r="BL8" s="48">
        <v>542.84467775999974</v>
      </c>
      <c r="BM8" s="48">
        <v>590.43171119999943</v>
      </c>
      <c r="BN8" s="48">
        <v>521.10739087999855</v>
      </c>
      <c r="BO8" s="48">
        <v>283.02535011999998</v>
      </c>
      <c r="BP8" s="48">
        <v>384.07435939999914</v>
      </c>
      <c r="BQ8" s="48">
        <v>175.07328351999922</v>
      </c>
      <c r="BR8" s="48">
        <v>540.05408011999998</v>
      </c>
      <c r="BS8" s="48">
        <v>638.31249175999938</v>
      </c>
      <c r="BT8" s="48">
        <v>908.8535892799996</v>
      </c>
      <c r="BU8" s="48">
        <v>898.27869295999926</v>
      </c>
      <c r="BV8" s="48">
        <v>541</v>
      </c>
      <c r="BW8" s="48">
        <v>579.89608383999939</v>
      </c>
      <c r="BX8" s="48">
        <v>471.8990038400002</v>
      </c>
      <c r="BY8" s="48">
        <v>521.81116784000051</v>
      </c>
      <c r="BZ8" s="51">
        <f>+AN8-BY8</f>
        <v>151.04996999999912</v>
      </c>
      <c r="CA8" s="52">
        <f>+AN8-BX8</f>
        <v>200.96213399999942</v>
      </c>
      <c r="CB8" s="109"/>
      <c r="CH8" t="s">
        <v>25</v>
      </c>
    </row>
    <row r="9" spans="1:86" x14ac:dyDescent="0.55000000000000004">
      <c r="A9" s="235"/>
      <c r="B9" s="44" t="s">
        <v>5</v>
      </c>
      <c r="C9" s="1" t="s">
        <v>4</v>
      </c>
      <c r="D9" s="45">
        <v>695.18600000000004</v>
      </c>
      <c r="E9" s="45">
        <v>689.68700000000001</v>
      </c>
      <c r="F9" s="45">
        <v>674.14</v>
      </c>
      <c r="G9" s="45">
        <v>660.971</v>
      </c>
      <c r="H9" s="46">
        <f>5956+883+5968</f>
        <v>12807</v>
      </c>
      <c r="I9" s="46">
        <v>12433</v>
      </c>
      <c r="J9" s="62">
        <v>12190</v>
      </c>
      <c r="K9" s="63">
        <v>12094</v>
      </c>
      <c r="L9" s="223">
        <f>5822+837+5438</f>
        <v>12097</v>
      </c>
      <c r="M9" s="63">
        <v>12116</v>
      </c>
      <c r="N9" s="63">
        <v>12230</v>
      </c>
      <c r="O9" s="128"/>
      <c r="P9" s="66">
        <v>1035.6099999999999</v>
      </c>
      <c r="Q9" s="47">
        <v>1337.62</v>
      </c>
      <c r="R9" s="47">
        <v>1751.88</v>
      </c>
      <c r="S9" s="47">
        <v>2893.59</v>
      </c>
      <c r="T9" s="47">
        <v>88.73</v>
      </c>
      <c r="U9" s="67">
        <v>140.93</v>
      </c>
      <c r="V9" s="67">
        <v>190.44</v>
      </c>
      <c r="W9" s="67">
        <v>313.8</v>
      </c>
      <c r="X9" s="128"/>
      <c r="Y9" s="72">
        <f t="shared" si="0"/>
        <v>719.94157345999997</v>
      </c>
      <c r="Z9" s="48">
        <f t="shared" si="0"/>
        <v>922.53912493999985</v>
      </c>
      <c r="AA9" s="49">
        <f>+F9*R9/1000</f>
        <v>1181.0123831999999</v>
      </c>
      <c r="AB9" s="49">
        <f t="shared" si="1"/>
        <v>1912.5790758900002</v>
      </c>
      <c r="AC9" s="49">
        <f t="shared" si="1"/>
        <v>1136.3651100000002</v>
      </c>
      <c r="AD9" s="73">
        <v>1763.8798800000002</v>
      </c>
      <c r="AE9" s="73">
        <v>2331.1760399999998</v>
      </c>
      <c r="AF9" s="73">
        <f t="shared" ref="AF9:AF12" si="3">+(W9*M9)/1000</f>
        <v>3802.0008000000003</v>
      </c>
      <c r="AG9" s="128"/>
      <c r="AI9" s="48">
        <v>121.18</v>
      </c>
      <c r="AJ9">
        <v>14.87</v>
      </c>
      <c r="AL9" s="81">
        <v>342.88</v>
      </c>
      <c r="AM9" s="50">
        <f t="shared" ref="AM9:AM12" si="4">+AL9/W9-1</f>
        <v>9.2670490758444801E-2</v>
      </c>
      <c r="AN9" s="82">
        <f t="shared" si="2"/>
        <v>391.42159999999922</v>
      </c>
      <c r="AO9" s="129"/>
      <c r="AP9" s="86">
        <f t="shared" ref="AP9:AP12" si="5">+AL9*N9/1000</f>
        <v>4193.4223999999995</v>
      </c>
      <c r="AQ9" s="88"/>
      <c r="AR9" s="48">
        <v>1469.4462800000001</v>
      </c>
      <c r="AS9" s="48">
        <v>185.22844999999961</v>
      </c>
      <c r="AT9" s="48">
        <v>199.58817999999974</v>
      </c>
      <c r="AU9" s="48">
        <v>176.54021000000012</v>
      </c>
      <c r="AV9" s="48">
        <v>298.41690999999946</v>
      </c>
      <c r="AW9" s="48">
        <v>112.5020999999997</v>
      </c>
      <c r="AX9" s="48">
        <v>-94.114660000000185</v>
      </c>
      <c r="AY9" s="48">
        <v>13.306699999999637</v>
      </c>
      <c r="AZ9" s="48">
        <v>-28.669890000000578</v>
      </c>
      <c r="BA9" s="48">
        <v>-187.50350000000026</v>
      </c>
      <c r="BB9" s="48">
        <v>-149.27698000000055</v>
      </c>
      <c r="BC9" s="48">
        <v>-181.57596999999987</v>
      </c>
      <c r="BD9" s="48">
        <v>-484.36388000000079</v>
      </c>
      <c r="BE9" s="48">
        <v>-233.95598000000064</v>
      </c>
      <c r="BF9" s="48">
        <v>23</v>
      </c>
      <c r="BG9" s="48">
        <v>309.68319999999994</v>
      </c>
      <c r="BH9" s="48">
        <v>345.00643999999966</v>
      </c>
      <c r="BI9" s="48">
        <v>841.0927200000001</v>
      </c>
      <c r="BJ9" s="48">
        <v>1008.6569999999997</v>
      </c>
      <c r="BK9" s="48">
        <v>963.46431999999959</v>
      </c>
      <c r="BL9" s="48">
        <v>794.56727999999976</v>
      </c>
      <c r="BM9" s="48">
        <v>758.82508000000007</v>
      </c>
      <c r="BN9" s="48">
        <v>629.54736000000003</v>
      </c>
      <c r="BO9" s="48">
        <v>537.4657600000005</v>
      </c>
      <c r="BP9" s="48">
        <v>650.14455999999927</v>
      </c>
      <c r="BQ9" s="48">
        <v>253.10323999999991</v>
      </c>
      <c r="BR9" s="48">
        <v>513.47607999999991</v>
      </c>
      <c r="BS9" s="48">
        <v>499.54267999999911</v>
      </c>
      <c r="BT9" s="48">
        <v>391.58912000000009</v>
      </c>
      <c r="BU9" s="48">
        <v>64.093639999999141</v>
      </c>
      <c r="BV9" s="48">
        <v>524</v>
      </c>
      <c r="BW9" s="48">
        <v>520.93730000000005</v>
      </c>
      <c r="BX9" s="48">
        <v>399.49339999999984</v>
      </c>
      <c r="BY9" s="48">
        <v>377.60169999999971</v>
      </c>
      <c r="BZ9" s="51">
        <f t="shared" ref="BZ9:BZ13" si="6">+AN9-BY9</f>
        <v>13.819899999999507</v>
      </c>
      <c r="CA9" s="52">
        <f t="shared" ref="CA9:CA13" si="7">+AN9-BX9</f>
        <v>-8.0718000000006214</v>
      </c>
      <c r="CB9" s="109"/>
    </row>
    <row r="10" spans="1:86" x14ac:dyDescent="0.55000000000000004">
      <c r="A10" s="235"/>
      <c r="B10" s="44" t="s">
        <v>6</v>
      </c>
      <c r="C10" s="1" t="s">
        <v>7</v>
      </c>
      <c r="D10" s="45">
        <v>7672.2129999999997</v>
      </c>
      <c r="E10" s="45">
        <v>7606</v>
      </c>
      <c r="F10" s="45">
        <v>7542.2150000000001</v>
      </c>
      <c r="G10" s="45">
        <v>7496.866</v>
      </c>
      <c r="H10" s="46">
        <v>7443.8035330000002</v>
      </c>
      <c r="I10" s="46">
        <v>7430.4359999999997</v>
      </c>
      <c r="J10" s="62">
        <v>7433.982</v>
      </c>
      <c r="K10" s="62">
        <v>7433.1660000000002</v>
      </c>
      <c r="L10" s="222">
        <v>7425.6289999999999</v>
      </c>
      <c r="M10" s="62">
        <v>7428.4350000000004</v>
      </c>
      <c r="N10" s="62">
        <v>7425.5</v>
      </c>
      <c r="O10" s="128"/>
      <c r="P10" s="66">
        <v>100.09</v>
      </c>
      <c r="Q10" s="47">
        <v>157.69999999999999</v>
      </c>
      <c r="R10" s="47">
        <v>222.42</v>
      </c>
      <c r="S10" s="47">
        <v>336.32</v>
      </c>
      <c r="T10" s="47">
        <v>239.82</v>
      </c>
      <c r="U10" s="67">
        <v>376.04</v>
      </c>
      <c r="V10" s="67">
        <v>421.5</v>
      </c>
      <c r="W10" s="67">
        <v>483.62</v>
      </c>
      <c r="X10" s="128"/>
      <c r="Y10" s="72">
        <f t="shared" si="0"/>
        <v>767.91179916999999</v>
      </c>
      <c r="Z10" s="48">
        <f t="shared" si="0"/>
        <v>1199.4661999999998</v>
      </c>
      <c r="AA10" s="49">
        <f>+F10*R10/1000</f>
        <v>1677.5394603</v>
      </c>
      <c r="AB10" s="49">
        <f t="shared" si="1"/>
        <v>2521.3459731199996</v>
      </c>
      <c r="AC10" s="49">
        <f t="shared" si="1"/>
        <v>1785.17296328406</v>
      </c>
      <c r="AD10" s="73">
        <v>2794.8278024800002</v>
      </c>
      <c r="AE10" s="73">
        <v>3133.8023415000002</v>
      </c>
      <c r="AF10" s="73">
        <f t="shared" si="3"/>
        <v>3592.5397347000003</v>
      </c>
      <c r="AG10" s="128"/>
      <c r="AI10" s="48">
        <v>134.22999999999999</v>
      </c>
      <c r="AJ10">
        <v>87.15</v>
      </c>
      <c r="AL10" s="81">
        <v>513.53</v>
      </c>
      <c r="AM10" s="50">
        <f t="shared" si="4"/>
        <v>6.1846077498862728E-2</v>
      </c>
      <c r="AN10" s="82">
        <f t="shared" si="2"/>
        <v>220.67728029999944</v>
      </c>
      <c r="AO10" s="129"/>
      <c r="AP10" s="86">
        <f t="shared" si="5"/>
        <v>3813.2170149999997</v>
      </c>
      <c r="AQ10" s="88"/>
      <c r="AR10" s="48">
        <v>491.04273287999922</v>
      </c>
      <c r="AS10" s="48">
        <v>-32.256520520000322</v>
      </c>
      <c r="AT10" s="48">
        <v>-176.59330128000011</v>
      </c>
      <c r="AU10" s="48">
        <v>-131.33011926000017</v>
      </c>
      <c r="AV10" s="48">
        <v>-396.36871874000008</v>
      </c>
      <c r="AW10" s="48">
        <v>-612.46587992000013</v>
      </c>
      <c r="AX10" s="48">
        <v>-611.12926669999979</v>
      </c>
      <c r="AY10" s="48">
        <v>-641.50008930999957</v>
      </c>
      <c r="AZ10" s="48">
        <v>-674.84116352000001</v>
      </c>
      <c r="BA10" s="48">
        <v>-554.39746114000036</v>
      </c>
      <c r="BB10" s="48">
        <v>-653.97514602999991</v>
      </c>
      <c r="BC10" s="48">
        <v>-755.5577507500002</v>
      </c>
      <c r="BD10" s="48">
        <v>-941.94103864999988</v>
      </c>
      <c r="BE10" s="48">
        <v>-818.00729064000006</v>
      </c>
      <c r="BF10" s="48">
        <v>-837</v>
      </c>
      <c r="BG10" s="48">
        <v>-451.70101206999971</v>
      </c>
      <c r="BH10" s="48">
        <v>-438.11211099999991</v>
      </c>
      <c r="BI10" s="48">
        <v>-513.89913330000036</v>
      </c>
      <c r="BJ10" s="48">
        <v>-508.84779750000007</v>
      </c>
      <c r="BK10" s="48">
        <v>-458.33443949999992</v>
      </c>
      <c r="BL10" s="48">
        <v>-483.21969674999991</v>
      </c>
      <c r="BM10" s="48">
        <v>-247.96116029999985</v>
      </c>
      <c r="BN10" s="48">
        <v>-497.33372325000028</v>
      </c>
      <c r="BO10" s="48">
        <v>-689.95304279999982</v>
      </c>
      <c r="BP10" s="48">
        <v>-774.19149570000036</v>
      </c>
      <c r="BQ10" s="48">
        <v>-821.95633275</v>
      </c>
      <c r="BR10" s="48">
        <v>-691.81015154999977</v>
      </c>
      <c r="BS10" s="48">
        <v>-731.84941619999972</v>
      </c>
      <c r="BT10" s="48">
        <v>-667.07346300000017</v>
      </c>
      <c r="BU10" s="48">
        <v>-757.10609520000025</v>
      </c>
      <c r="BV10" s="48">
        <v>-140</v>
      </c>
      <c r="BW10" s="48">
        <v>120.13601029999973</v>
      </c>
      <c r="BX10" s="48">
        <v>86.052965299999414</v>
      </c>
      <c r="BY10" s="48">
        <v>-4.2411147000002529</v>
      </c>
      <c r="BZ10" s="51">
        <f t="shared" si="6"/>
        <v>224.91839499999969</v>
      </c>
      <c r="CA10" s="52">
        <f t="shared" si="7"/>
        <v>134.62431500000002</v>
      </c>
      <c r="CB10" s="109"/>
    </row>
    <row r="11" spans="1:86" x14ac:dyDescent="0.55000000000000004">
      <c r="A11" s="235"/>
      <c r="B11" s="44" t="s">
        <v>8</v>
      </c>
      <c r="C11" s="1" t="s">
        <v>9</v>
      </c>
      <c r="D11" s="46">
        <v>491.20299999999997</v>
      </c>
      <c r="E11" s="46">
        <v>497.81</v>
      </c>
      <c r="F11" s="46">
        <v>503.565</v>
      </c>
      <c r="G11" s="46">
        <v>508.84399999999999</v>
      </c>
      <c r="H11" s="53">
        <v>10247.26</v>
      </c>
      <c r="I11" s="53">
        <v>10387.380999999999</v>
      </c>
      <c r="J11" s="63">
        <v>10597.728999999999</v>
      </c>
      <c r="K11" s="63">
        <v>10664.912</v>
      </c>
      <c r="L11" s="223">
        <v>10734.92</v>
      </c>
      <c r="M11" s="63">
        <v>10757.109</v>
      </c>
      <c r="N11" s="63">
        <v>10786.3</v>
      </c>
      <c r="O11" s="128"/>
      <c r="P11" s="68">
        <v>1501.97</v>
      </c>
      <c r="Q11" s="20">
        <v>1847.84</v>
      </c>
      <c r="R11" s="20">
        <v>3256.93</v>
      </c>
      <c r="S11" s="20">
        <v>3334.34</v>
      </c>
      <c r="T11" s="20">
        <v>84</v>
      </c>
      <c r="U11" s="69">
        <v>151.94</v>
      </c>
      <c r="V11" s="69">
        <v>219.39</v>
      </c>
      <c r="W11" s="69">
        <v>230.82</v>
      </c>
      <c r="X11" s="128"/>
      <c r="Y11" s="74">
        <f t="shared" si="0"/>
        <v>737.77216990999989</v>
      </c>
      <c r="Z11" s="54">
        <f t="shared" si="0"/>
        <v>919.87323040000001</v>
      </c>
      <c r="AA11" s="54">
        <f>+F11*R11/1000</f>
        <v>1640.07595545</v>
      </c>
      <c r="AB11" s="49">
        <f t="shared" si="1"/>
        <v>1696.6589029600002</v>
      </c>
      <c r="AC11" s="49">
        <f t="shared" si="1"/>
        <v>860.76983999999993</v>
      </c>
      <c r="AD11" s="73">
        <v>1570.1526701400001</v>
      </c>
      <c r="AE11" s="73">
        <v>2306.8882632899999</v>
      </c>
      <c r="AF11" s="73">
        <f t="shared" si="3"/>
        <v>2482.9558993799997</v>
      </c>
      <c r="AG11" s="128"/>
      <c r="AI11" s="54">
        <v>55.02</v>
      </c>
      <c r="AJ11">
        <v>77.540000000000006</v>
      </c>
      <c r="AL11" s="81">
        <v>266.43</v>
      </c>
      <c r="AM11" s="50">
        <f t="shared" si="4"/>
        <v>0.15427605926696142</v>
      </c>
      <c r="AN11" s="82">
        <f t="shared" si="2"/>
        <v>390.83800962000032</v>
      </c>
      <c r="AO11" s="129"/>
      <c r="AP11" s="86">
        <f t="shared" si="5"/>
        <v>2873.793909</v>
      </c>
      <c r="AQ11" s="88"/>
      <c r="AR11" s="54">
        <v>178.80076103000056</v>
      </c>
      <c r="AS11" s="54">
        <v>176.6023683200001</v>
      </c>
      <c r="AT11" s="54">
        <v>88.728792800000065</v>
      </c>
      <c r="AU11" s="54">
        <v>89.156401440000081</v>
      </c>
      <c r="AV11" s="54">
        <v>90.653031679999913</v>
      </c>
      <c r="AW11" s="54">
        <v>-220.0658599999997</v>
      </c>
      <c r="AX11" s="54">
        <v>-343.83948759999976</v>
      </c>
      <c r="AY11" s="54">
        <v>-222.32019319999927</v>
      </c>
      <c r="AZ11" s="54">
        <v>-223.50103439999975</v>
      </c>
      <c r="BA11" s="54">
        <v>-189.04194119999966</v>
      </c>
      <c r="BB11" s="54">
        <v>-248.51339800000005</v>
      </c>
      <c r="BC11" s="54">
        <v>-273.20371399999931</v>
      </c>
      <c r="BD11" s="54">
        <v>-337.9352815999996</v>
      </c>
      <c r="BE11" s="54">
        <v>-225.97006599999941</v>
      </c>
      <c r="BF11" s="54">
        <v>83</v>
      </c>
      <c r="BG11" s="54">
        <v>211.90732079999998</v>
      </c>
      <c r="BH11" s="54">
        <v>356.07729640000071</v>
      </c>
      <c r="BI11" s="54">
        <v>402.74616096</v>
      </c>
      <c r="BJ11" s="54">
        <v>450.29258274000085</v>
      </c>
      <c r="BK11" s="54">
        <v>358.42687188000036</v>
      </c>
      <c r="BL11" s="54">
        <v>381.87736949999999</v>
      </c>
      <c r="BM11" s="54">
        <v>428.34808038000028</v>
      </c>
      <c r="BN11" s="54">
        <v>163.61562789000027</v>
      </c>
      <c r="BO11" s="54">
        <v>83.15245257000015</v>
      </c>
      <c r="BP11" s="54">
        <v>145.97396913000011</v>
      </c>
      <c r="BQ11" s="54">
        <v>20.115793830000712</v>
      </c>
      <c r="BR11" s="54">
        <v>127.47174165000024</v>
      </c>
      <c r="BS11" s="54">
        <v>156.19322268000042</v>
      </c>
      <c r="BT11" s="54">
        <v>176.52415869000015</v>
      </c>
      <c r="BU11" s="54">
        <v>13.876670610000474</v>
      </c>
      <c r="BV11" s="54">
        <v>440</v>
      </c>
      <c r="BW11" s="54">
        <v>477.66772462000017</v>
      </c>
      <c r="BX11" s="54">
        <v>350.06579561999979</v>
      </c>
      <c r="BY11" s="54">
        <v>306.70486962000041</v>
      </c>
      <c r="BZ11" s="51">
        <f t="shared" si="6"/>
        <v>84.133139999999912</v>
      </c>
      <c r="CA11" s="52">
        <f t="shared" si="7"/>
        <v>40.772214000000531</v>
      </c>
      <c r="CB11" s="109" t="s">
        <v>25</v>
      </c>
    </row>
    <row r="12" spans="1:86" x14ac:dyDescent="0.55000000000000004">
      <c r="A12" s="235"/>
      <c r="B12" s="55" t="s">
        <v>37</v>
      </c>
      <c r="C12" s="6" t="s">
        <v>68</v>
      </c>
      <c r="D12" s="7">
        <v>2853.99</v>
      </c>
      <c r="E12" s="7">
        <v>2850.45</v>
      </c>
      <c r="F12" s="7">
        <v>2847.6</v>
      </c>
      <c r="G12" s="7">
        <v>2765.9</v>
      </c>
      <c r="H12" s="28">
        <v>2592.6390000000001</v>
      </c>
      <c r="I12" s="28">
        <v>2549</v>
      </c>
      <c r="J12" s="64">
        <v>2533.6590000000001</v>
      </c>
      <c r="K12" s="91">
        <v>2512.6</v>
      </c>
      <c r="L12" s="225">
        <f>2187.178+342.378</f>
        <v>2529.556</v>
      </c>
      <c r="M12" s="91">
        <v>2538.424</v>
      </c>
      <c r="N12" s="225">
        <v>2547.5</v>
      </c>
      <c r="O12" s="185"/>
      <c r="P12" s="70">
        <v>131.09</v>
      </c>
      <c r="Q12" s="8">
        <v>205.25</v>
      </c>
      <c r="R12" s="8">
        <v>273.16000000000003</v>
      </c>
      <c r="S12" s="8">
        <v>336.35</v>
      </c>
      <c r="T12" s="8">
        <v>120.34</v>
      </c>
      <c r="U12" s="71">
        <v>353.96</v>
      </c>
      <c r="V12" s="171">
        <v>585.51</v>
      </c>
      <c r="W12" s="171">
        <v>660.09</v>
      </c>
      <c r="X12" s="185"/>
      <c r="Y12" s="75">
        <f t="shared" si="0"/>
        <v>374.12954910000002</v>
      </c>
      <c r="Z12" s="9">
        <f t="shared" si="0"/>
        <v>585.0548624999999</v>
      </c>
      <c r="AA12" s="9">
        <f>+F12*R12/1000</f>
        <v>777.85041600000011</v>
      </c>
      <c r="AB12" s="14">
        <f t="shared" si="1"/>
        <v>930.31046500000014</v>
      </c>
      <c r="AC12" s="14">
        <f t="shared" si="1"/>
        <v>311.99817726000003</v>
      </c>
      <c r="AD12" s="76">
        <v>909.62870747999989</v>
      </c>
      <c r="AE12" s="87">
        <v>1478.11355439</v>
      </c>
      <c r="AF12" s="87">
        <f t="shared" si="3"/>
        <v>1675.58829816</v>
      </c>
      <c r="AG12" s="185"/>
      <c r="AH12" s="5"/>
      <c r="AI12" s="9">
        <v>54.86</v>
      </c>
      <c r="AJ12" s="5">
        <v>11.07</v>
      </c>
      <c r="AK12" s="5"/>
      <c r="AL12" s="83">
        <v>578.02</v>
      </c>
      <c r="AM12" s="15">
        <f t="shared" si="4"/>
        <v>-0.12433153054886459</v>
      </c>
      <c r="AN12" s="84">
        <f t="shared" si="2"/>
        <v>-203.08234816000004</v>
      </c>
      <c r="AO12" s="186"/>
      <c r="AP12" s="87">
        <f t="shared" si="5"/>
        <v>1472.50595</v>
      </c>
      <c r="AQ12" s="187"/>
      <c r="AR12" s="9">
        <v>193.72679943999992</v>
      </c>
      <c r="AS12" s="9">
        <v>-17.719304810000267</v>
      </c>
      <c r="AT12" s="9">
        <v>-100.41779568000015</v>
      </c>
      <c r="AU12" s="9">
        <v>-3.3523009100001673</v>
      </c>
      <c r="AV12" s="9">
        <v>142.18292806999989</v>
      </c>
      <c r="AW12" s="9">
        <v>3.4654917200000455</v>
      </c>
      <c r="AX12" s="9">
        <v>-51.400577920000387</v>
      </c>
      <c r="AY12" s="9">
        <v>-11.20593308000025</v>
      </c>
      <c r="AZ12" s="9">
        <v>-30.127011960000345</v>
      </c>
      <c r="BA12" s="9">
        <v>-38.525137880000102</v>
      </c>
      <c r="BB12" s="9">
        <v>-117.32080728000005</v>
      </c>
      <c r="BC12" s="9">
        <v>-168.0384050800003</v>
      </c>
      <c r="BD12" s="9">
        <v>-339.89643972000022</v>
      </c>
      <c r="BE12" s="9">
        <v>-216.60588028000029</v>
      </c>
      <c r="BF12" s="9">
        <v>-76</v>
      </c>
      <c r="BG12" s="9">
        <v>71.991163759999608</v>
      </c>
      <c r="BH12" s="9">
        <v>37.791566639999928</v>
      </c>
      <c r="BI12" s="9">
        <v>-130.32268815999987</v>
      </c>
      <c r="BJ12" s="9">
        <v>-128.08887504000018</v>
      </c>
      <c r="BK12" s="9">
        <v>-116.41212464</v>
      </c>
      <c r="BL12" s="9">
        <v>-126.4896679200001</v>
      </c>
      <c r="BM12" s="9">
        <v>-70.009733920000144</v>
      </c>
      <c r="BN12" s="9">
        <v>-170.30286615999989</v>
      </c>
      <c r="BO12" s="9">
        <v>-236.35265864000007</v>
      </c>
      <c r="BP12" s="9">
        <v>-210.3591968799999</v>
      </c>
      <c r="BQ12" s="9">
        <v>-278.82049215999996</v>
      </c>
      <c r="BR12" s="9">
        <v>-195.94094856000015</v>
      </c>
      <c r="BS12" s="9">
        <v>23.150426880000168</v>
      </c>
      <c r="BT12" s="9">
        <v>-35.741009920000124</v>
      </c>
      <c r="BU12" s="9">
        <v>-164.74371759999985</v>
      </c>
      <c r="BV12" s="9">
        <v>-263</v>
      </c>
      <c r="BW12" s="9">
        <v>-167.21354816000007</v>
      </c>
      <c r="BX12" s="9">
        <v>-172.94542316000002</v>
      </c>
      <c r="BY12" s="9">
        <v>-274.71804816000008</v>
      </c>
      <c r="BZ12" s="27">
        <f t="shared" si="6"/>
        <v>71.635700000000043</v>
      </c>
      <c r="CA12" s="27">
        <f t="shared" si="7"/>
        <v>-30.136925000000019</v>
      </c>
      <c r="CB12" s="109"/>
    </row>
    <row r="13" spans="1:86" x14ac:dyDescent="0.55000000000000004">
      <c r="A13" s="235"/>
      <c r="B13" s="56"/>
      <c r="C13" s="43" t="s">
        <v>25</v>
      </c>
      <c r="D13" s="43"/>
      <c r="E13" s="43"/>
      <c r="F13" s="3"/>
      <c r="G13" s="3"/>
      <c r="H13" s="3"/>
      <c r="I13" s="3"/>
      <c r="J13" s="65"/>
      <c r="K13" s="65"/>
      <c r="L13" s="65"/>
      <c r="M13" s="65"/>
      <c r="N13" s="65"/>
      <c r="O13" s="128"/>
      <c r="P13" s="56"/>
      <c r="Q13" s="3"/>
      <c r="R13" s="3"/>
      <c r="W13" s="100" t="s">
        <v>10</v>
      </c>
      <c r="X13" s="128"/>
      <c r="Y13" s="77">
        <f>SUM(Y8:Y12)</f>
        <v>3332.5567564399998</v>
      </c>
      <c r="Z13" s="4">
        <f>SUM(Z8:Z12)</f>
        <v>4911.20581984</v>
      </c>
      <c r="AA13" s="4">
        <f>SUM(AA8:AA12)</f>
        <v>7491.9905749500003</v>
      </c>
      <c r="AB13" s="4">
        <f>SUM(AB8:AB12)</f>
        <v>9958.7375553399997</v>
      </c>
      <c r="AC13" s="4">
        <f>SUM(AC8:AC12)</f>
        <v>6150.0515343240604</v>
      </c>
      <c r="AD13" s="78">
        <v>10032.860402660001</v>
      </c>
      <c r="AE13" s="78">
        <v>13035.284594840001</v>
      </c>
      <c r="AF13" s="78">
        <f>SUM(AF8:AF12)</f>
        <v>15545.989334400001</v>
      </c>
      <c r="AG13" s="128"/>
      <c r="AI13" s="48">
        <f>SUM(AI8:AI12)</f>
        <v>571.18799999999999</v>
      </c>
      <c r="AJ13" s="48">
        <f>SUM(AJ8:AJ12)</f>
        <v>307.38</v>
      </c>
      <c r="AL13" s="44"/>
      <c r="AN13" s="78">
        <f>SUM(AN8:AN12)</f>
        <v>1472.7156795999986</v>
      </c>
      <c r="AO13" s="129"/>
      <c r="AP13" s="94">
        <f>SUM(AP8:AP12)</f>
        <v>17018.705013999999</v>
      </c>
      <c r="AQ13" s="88"/>
      <c r="AR13" s="175">
        <v>2587.5670878899991</v>
      </c>
      <c r="AS13" s="175">
        <v>127.29834401999869</v>
      </c>
      <c r="AT13" s="175">
        <v>-229.9919686500009</v>
      </c>
      <c r="AU13" s="175">
        <v>-220.95853719000047</v>
      </c>
      <c r="AV13" s="175">
        <v>-48.047099130001243</v>
      </c>
      <c r="AW13" s="175">
        <v>-624.66021180000007</v>
      </c>
      <c r="AX13" s="175">
        <v>-1336.55672342</v>
      </c>
      <c r="AY13" s="175">
        <v>-968.59821478999947</v>
      </c>
      <c r="AZ13" s="175">
        <v>-1069.8902550800003</v>
      </c>
      <c r="BA13" s="175">
        <v>-1180.876456220001</v>
      </c>
      <c r="BB13" s="175">
        <v>-1488.2543149100004</v>
      </c>
      <c r="BC13" s="175">
        <v>-1728.8146516299994</v>
      </c>
      <c r="BD13" s="175">
        <v>-2442.6837283700002</v>
      </c>
      <c r="BE13" s="175">
        <v>-1728.5565885200003</v>
      </c>
      <c r="BF13" s="175">
        <v>-976</v>
      </c>
      <c r="BG13" s="175">
        <v>117.9504142899998</v>
      </c>
      <c r="BH13" s="175">
        <v>289.01828004000072</v>
      </c>
      <c r="BI13" s="175">
        <v>721.22836717999962</v>
      </c>
      <c r="BJ13" s="175">
        <v>1137.2035699599999</v>
      </c>
      <c r="BK13" s="175">
        <v>1163.8249174600001</v>
      </c>
      <c r="BL13" s="175">
        <v>1109.5799625899995</v>
      </c>
      <c r="BM13" s="175">
        <v>1459.6339773599998</v>
      </c>
      <c r="BN13" s="175">
        <v>646.63378935999867</v>
      </c>
      <c r="BO13" s="175">
        <v>-22.662138749999258</v>
      </c>
      <c r="BP13" s="175">
        <v>195.64219594999827</v>
      </c>
      <c r="BQ13" s="175">
        <v>-652.48450756000011</v>
      </c>
      <c r="BR13" s="175">
        <v>293.25080166000021</v>
      </c>
      <c r="BS13" s="175">
        <v>585.34940511999935</v>
      </c>
      <c r="BT13" s="175">
        <v>774.15239504999954</v>
      </c>
      <c r="BU13" s="175">
        <v>54.399190769998768</v>
      </c>
      <c r="BV13" s="175">
        <v>1101</v>
      </c>
      <c r="BW13" s="175">
        <v>1531.4235705999993</v>
      </c>
      <c r="BX13" s="175">
        <v>1134.5657415999992</v>
      </c>
      <c r="BY13" s="175">
        <v>927.15857460000029</v>
      </c>
      <c r="BZ13" s="51">
        <f t="shared" si="6"/>
        <v>545.55710499999827</v>
      </c>
      <c r="CA13" s="51">
        <f t="shared" si="7"/>
        <v>338.14993799999934</v>
      </c>
      <c r="CB13" s="109"/>
      <c r="CE13" s="49" t="s">
        <v>25</v>
      </c>
      <c r="CF13" t="s">
        <v>25</v>
      </c>
    </row>
    <row r="14" spans="1:86" x14ac:dyDescent="0.55000000000000004">
      <c r="A14" s="235"/>
      <c r="B14" s="56"/>
      <c r="J14" s="58"/>
      <c r="K14" s="58"/>
      <c r="L14" s="58"/>
      <c r="M14" s="58"/>
      <c r="N14" s="58"/>
      <c r="O14" s="128"/>
      <c r="P14" s="44"/>
      <c r="W14" s="100" t="s">
        <v>29</v>
      </c>
      <c r="X14" s="128"/>
      <c r="Y14" s="44"/>
      <c r="Z14" s="17">
        <f t="shared" ref="Z14:AE14" si="8">+Z13-Y13</f>
        <v>1578.6490634000002</v>
      </c>
      <c r="AA14" s="17">
        <f t="shared" si="8"/>
        <v>2580.7847551100003</v>
      </c>
      <c r="AB14" s="17">
        <f t="shared" si="8"/>
        <v>2466.7469803899994</v>
      </c>
      <c r="AC14" s="17">
        <f t="shared" si="8"/>
        <v>-3808.6860210159393</v>
      </c>
      <c r="AD14" s="79">
        <f t="shared" si="8"/>
        <v>3882.8088683359401</v>
      </c>
      <c r="AE14" s="79">
        <f t="shared" si="8"/>
        <v>3002.4241921800003</v>
      </c>
      <c r="AF14" s="79">
        <f>+AF13-AE13</f>
        <v>2510.7047395600002</v>
      </c>
      <c r="AG14" s="128"/>
      <c r="AL14" s="44"/>
      <c r="AN14" s="85" t="s">
        <v>25</v>
      </c>
      <c r="AO14" s="104"/>
      <c r="AP14" s="44"/>
      <c r="CA14" s="58"/>
      <c r="CB14" s="109"/>
      <c r="CF14" t="s">
        <v>25</v>
      </c>
    </row>
    <row r="15" spans="1:86" x14ac:dyDescent="0.55000000000000004">
      <c r="A15" s="235"/>
      <c r="B15" s="59"/>
      <c r="C15" s="5"/>
      <c r="D15" s="5"/>
      <c r="E15" s="5"/>
      <c r="F15" s="5"/>
      <c r="G15" s="5"/>
      <c r="H15" s="5"/>
      <c r="I15" s="5"/>
      <c r="J15" s="61"/>
      <c r="K15" s="58"/>
      <c r="L15" s="58"/>
      <c r="M15" s="58"/>
      <c r="N15" s="58"/>
      <c r="O15" s="128"/>
      <c r="P15" s="55"/>
      <c r="Q15" s="5"/>
      <c r="R15" s="5"/>
      <c r="S15" s="5"/>
      <c r="T15" s="5"/>
      <c r="W15" s="101" t="s">
        <v>32</v>
      </c>
      <c r="X15" s="128"/>
      <c r="Y15" s="55"/>
      <c r="Z15" s="60"/>
      <c r="AA15" s="60">
        <f>+AA14+Z14</f>
        <v>4159.4338185100005</v>
      </c>
      <c r="AB15" s="60">
        <f>+AA15+AB14</f>
        <v>6626.1807988999999</v>
      </c>
      <c r="AC15" s="60">
        <f>+AB15+AC14</f>
        <v>2817.4947778840606</v>
      </c>
      <c r="AD15" s="80">
        <f>+AC15+AD14</f>
        <v>6700.3036462200007</v>
      </c>
      <c r="AE15" s="79">
        <f>+AD15+AE14</f>
        <v>9702.7278384000019</v>
      </c>
      <c r="AF15" s="79">
        <f>+AE15+AF14</f>
        <v>12213.432577960002</v>
      </c>
      <c r="AG15" s="128"/>
      <c r="AH15" s="5"/>
      <c r="AI15" s="5"/>
      <c r="AJ15" s="5"/>
      <c r="AK15" s="5"/>
      <c r="AL15" s="55"/>
      <c r="AM15" s="5"/>
      <c r="AN15" s="61"/>
      <c r="AO15" s="104"/>
      <c r="AP15" s="5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61"/>
      <c r="CB15" s="109"/>
      <c r="CC15" t="s">
        <v>25</v>
      </c>
      <c r="CF15" t="s">
        <v>25</v>
      </c>
    </row>
    <row r="16" spans="1:86" ht="4.5" customHeight="1" x14ac:dyDescent="0.55000000000000004">
      <c r="A16" s="236"/>
      <c r="B16" s="115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1"/>
      <c r="V16" s="111"/>
      <c r="W16" s="111"/>
      <c r="X16" s="110"/>
      <c r="Y16" s="110"/>
      <c r="Z16" s="112"/>
      <c r="AA16" s="112"/>
      <c r="AB16" s="112"/>
      <c r="AC16" s="112"/>
      <c r="AD16" s="112"/>
      <c r="AE16" s="112"/>
      <c r="AF16" s="112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3"/>
    </row>
    <row r="18" spans="1:90" ht="4.5" customHeight="1" x14ac:dyDescent="0.55000000000000004">
      <c r="A18" s="237" t="s">
        <v>31</v>
      </c>
      <c r="B18" s="116"/>
      <c r="C18" s="117"/>
      <c r="D18" s="117"/>
      <c r="E18" s="117"/>
      <c r="F18" s="117"/>
      <c r="G18" s="117"/>
      <c r="H18" s="117"/>
      <c r="I18" s="117"/>
      <c r="J18" s="117"/>
      <c r="K18" s="130"/>
      <c r="L18" s="130"/>
      <c r="M18" s="130"/>
      <c r="N18" s="130"/>
      <c r="O18" s="130"/>
      <c r="P18" s="117"/>
      <c r="Q18" s="117"/>
      <c r="R18" s="117"/>
      <c r="S18" s="117"/>
      <c r="T18" s="117"/>
      <c r="U18" s="118"/>
      <c r="V18" s="170"/>
      <c r="W18" s="170"/>
      <c r="X18" s="130"/>
      <c r="Y18" s="117"/>
      <c r="Z18" s="119"/>
      <c r="AA18" s="119"/>
      <c r="AB18" s="119"/>
      <c r="AC18" s="119"/>
      <c r="AD18" s="119"/>
      <c r="AE18" s="169"/>
      <c r="AF18" s="169"/>
      <c r="AG18" s="130"/>
      <c r="AH18" s="117"/>
      <c r="AI18" s="117"/>
      <c r="AJ18" s="117"/>
      <c r="AK18" s="117"/>
      <c r="AL18" s="117"/>
      <c r="AM18" s="117"/>
      <c r="AN18" s="117"/>
      <c r="AO18" s="130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31"/>
    </row>
    <row r="19" spans="1:90" ht="32.1" customHeight="1" x14ac:dyDescent="0.55000000000000004">
      <c r="A19" s="238"/>
      <c r="B19" s="132" t="s">
        <v>26</v>
      </c>
      <c r="C19" s="133"/>
      <c r="D19" s="134" t="s">
        <v>26</v>
      </c>
      <c r="E19" s="135"/>
      <c r="F19" s="135"/>
      <c r="G19" s="135"/>
      <c r="H19" s="135"/>
      <c r="I19" s="135"/>
      <c r="J19" s="136"/>
      <c r="K19" s="180"/>
      <c r="L19" s="180"/>
      <c r="M19" s="180"/>
      <c r="N19" s="180"/>
      <c r="O19" s="126"/>
      <c r="U19" s="243" t="s">
        <v>27</v>
      </c>
      <c r="V19" s="244"/>
      <c r="W19" s="244"/>
      <c r="X19" s="209"/>
      <c r="Y19" s="206"/>
      <c r="Z19" s="206"/>
      <c r="AA19" s="207"/>
      <c r="AB19" s="206"/>
      <c r="AC19" s="206"/>
      <c r="AD19" s="244" t="s">
        <v>168</v>
      </c>
      <c r="AE19" s="244"/>
      <c r="AF19" s="244"/>
      <c r="AG19" s="127"/>
      <c r="AL19" s="240" t="str">
        <f>+AL6</f>
        <v>2026 YTD PERFORMANCE</v>
      </c>
      <c r="AM19" s="241"/>
      <c r="AN19" s="242"/>
      <c r="AO19" s="127"/>
      <c r="AP19" s="89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2"/>
      <c r="CB19" s="125"/>
    </row>
    <row r="20" spans="1:90" ht="28.8" x14ac:dyDescent="0.55000000000000004">
      <c r="A20" s="238"/>
      <c r="B20" s="137" t="s">
        <v>0</v>
      </c>
      <c r="C20" s="13" t="s">
        <v>75</v>
      </c>
      <c r="D20" s="10">
        <f t="shared" ref="D20:I20" si="9">+D7</f>
        <v>43465</v>
      </c>
      <c r="E20" s="10">
        <f t="shared" si="9"/>
        <v>43830</v>
      </c>
      <c r="F20" s="10">
        <f t="shared" si="9"/>
        <v>44196</v>
      </c>
      <c r="G20" s="10">
        <f t="shared" si="9"/>
        <v>44531</v>
      </c>
      <c r="H20" s="10">
        <f t="shared" si="9"/>
        <v>44926</v>
      </c>
      <c r="I20" s="10">
        <f t="shared" si="9"/>
        <v>45291</v>
      </c>
      <c r="J20" s="10">
        <v>45657</v>
      </c>
      <c r="K20" s="10">
        <v>45809</v>
      </c>
      <c r="L20" s="10">
        <f>+L7</f>
        <v>46022</v>
      </c>
      <c r="M20" s="10">
        <f>+M7</f>
        <v>46112</v>
      </c>
      <c r="N20" s="10">
        <v>46174</v>
      </c>
      <c r="O20" s="126"/>
      <c r="P20" s="10">
        <v>43465</v>
      </c>
      <c r="Q20" s="10">
        <v>43830</v>
      </c>
      <c r="R20" s="10">
        <f>+R7</f>
        <v>44196</v>
      </c>
      <c r="S20" s="10">
        <f>+S7</f>
        <v>44561</v>
      </c>
      <c r="T20" s="10">
        <v>44896</v>
      </c>
      <c r="U20" s="10">
        <f>+U7</f>
        <v>45291</v>
      </c>
      <c r="V20" s="10">
        <v>45657</v>
      </c>
      <c r="W20" s="10">
        <v>46022</v>
      </c>
      <c r="X20" s="126"/>
      <c r="Y20" s="10">
        <f>+Y7</f>
        <v>43465</v>
      </c>
      <c r="Z20" s="10">
        <f>+Z7</f>
        <v>43830</v>
      </c>
      <c r="AA20" s="10">
        <f>+AA7</f>
        <v>44196</v>
      </c>
      <c r="AB20" s="10">
        <v>44561</v>
      </c>
      <c r="AC20" s="10">
        <v>44896</v>
      </c>
      <c r="AD20" s="10">
        <v>45261</v>
      </c>
      <c r="AE20" s="10">
        <v>45657</v>
      </c>
      <c r="AF20" s="10">
        <f>+AF7</f>
        <v>46022</v>
      </c>
      <c r="AG20" s="127"/>
      <c r="AI20" s="11" t="s">
        <v>11</v>
      </c>
      <c r="AJ20" s="43" t="s">
        <v>22</v>
      </c>
      <c r="AL20" s="19">
        <f>+AL7</f>
        <v>46262</v>
      </c>
      <c r="AM20" s="13" t="s">
        <v>23</v>
      </c>
      <c r="AN20" s="13" t="s">
        <v>24</v>
      </c>
      <c r="AO20" s="127"/>
      <c r="AP20" s="13" t="s">
        <v>35</v>
      </c>
      <c r="AR20" s="12" t="str">
        <f t="shared" ref="AR20:AW20" si="10">+AR7</f>
        <v>YE 2025</v>
      </c>
      <c r="AS20" s="12">
        <f t="shared" si="10"/>
        <v>46031</v>
      </c>
      <c r="AT20" s="12">
        <f t="shared" si="10"/>
        <v>46038</v>
      </c>
      <c r="AU20" s="12">
        <f t="shared" si="10"/>
        <v>46045</v>
      </c>
      <c r="AV20" s="12">
        <f t="shared" si="10"/>
        <v>46052</v>
      </c>
      <c r="AW20" s="12">
        <f t="shared" si="10"/>
        <v>46059</v>
      </c>
      <c r="AX20" s="12">
        <f>+AX7</f>
        <v>46066</v>
      </c>
      <c r="AY20" s="12">
        <f>+AY7</f>
        <v>46073</v>
      </c>
      <c r="AZ20" s="12">
        <f>+AZ7</f>
        <v>46080</v>
      </c>
      <c r="BA20" s="12">
        <f>+BA7</f>
        <v>46087</v>
      </c>
      <c r="BB20" s="12">
        <v>46094</v>
      </c>
      <c r="BC20" s="12">
        <v>46101</v>
      </c>
      <c r="BD20" s="12">
        <f t="shared" ref="BD20:BI20" si="11">+BD7</f>
        <v>46108</v>
      </c>
      <c r="BE20" s="12">
        <f t="shared" si="11"/>
        <v>46114</v>
      </c>
      <c r="BF20" s="12">
        <f t="shared" si="11"/>
        <v>46122</v>
      </c>
      <c r="BG20" s="12">
        <f t="shared" si="11"/>
        <v>46129</v>
      </c>
      <c r="BH20" s="12">
        <f t="shared" si="11"/>
        <v>46136</v>
      </c>
      <c r="BI20" s="12">
        <f t="shared" si="11"/>
        <v>46143</v>
      </c>
      <c r="BJ20" s="12">
        <f>+BJ7</f>
        <v>46150</v>
      </c>
      <c r="BK20" s="12">
        <f>+BK7</f>
        <v>46157</v>
      </c>
      <c r="BL20" s="12">
        <f>+BL7</f>
        <v>46164</v>
      </c>
      <c r="BM20" s="12">
        <v>46171</v>
      </c>
      <c r="BN20" s="12">
        <f t="shared" ref="BN20:BS20" si="12">+BN7</f>
        <v>46178</v>
      </c>
      <c r="BO20" s="12">
        <f t="shared" si="12"/>
        <v>46185</v>
      </c>
      <c r="BP20" s="12">
        <f t="shared" si="12"/>
        <v>46192</v>
      </c>
      <c r="BQ20" s="12">
        <f t="shared" si="12"/>
        <v>46199</v>
      </c>
      <c r="BR20" s="12">
        <f t="shared" si="12"/>
        <v>46205</v>
      </c>
      <c r="BS20" s="12">
        <f t="shared" si="12"/>
        <v>46213</v>
      </c>
      <c r="BT20" s="12">
        <f>+BT7</f>
        <v>46220</v>
      </c>
      <c r="BU20" s="12">
        <f>+BU7</f>
        <v>46227</v>
      </c>
      <c r="BV20" s="12">
        <f>+BV7</f>
        <v>46234</v>
      </c>
      <c r="BW20" s="12">
        <f>+BW7</f>
        <v>46241</v>
      </c>
      <c r="BX20" s="12">
        <f>+BX7</f>
        <v>46248</v>
      </c>
      <c r="BY20" s="12">
        <v>46255</v>
      </c>
      <c r="BZ20" s="13" t="str">
        <f t="shared" ref="BZ20:CA20" si="13">+BZ7</f>
        <v>1-wk change</v>
      </c>
      <c r="CA20" s="13" t="str">
        <f t="shared" si="13"/>
        <v>2-week change</v>
      </c>
      <c r="CB20" s="125"/>
      <c r="CF20" t="s">
        <v>25</v>
      </c>
      <c r="CJ20" s="1"/>
      <c r="CK20" s="1"/>
      <c r="CL20" s="1"/>
    </row>
    <row r="21" spans="1:90" x14ac:dyDescent="0.55000000000000004">
      <c r="A21" s="238"/>
      <c r="B21" s="44" t="s">
        <v>12</v>
      </c>
      <c r="C21" s="1" t="s">
        <v>17</v>
      </c>
      <c r="D21" s="45">
        <v>7285</v>
      </c>
      <c r="E21" s="45">
        <v>7170</v>
      </c>
      <c r="F21" s="45">
        <v>7126</v>
      </c>
      <c r="G21" s="90">
        <v>7126</v>
      </c>
      <c r="H21" s="53">
        <v>7129.87</v>
      </c>
      <c r="I21" s="53">
        <v>7150.02</v>
      </c>
      <c r="J21" s="220">
        <v>7178.183</v>
      </c>
      <c r="K21" s="221">
        <v>7150.3850000000002</v>
      </c>
      <c r="L21" s="63">
        <v>7000.5772010000001</v>
      </c>
      <c r="M21" s="63">
        <v>6948.3389999999999</v>
      </c>
      <c r="N21" s="63">
        <v>6852.4</v>
      </c>
      <c r="O21" s="126"/>
      <c r="P21" s="92">
        <v>26.5</v>
      </c>
      <c r="Q21" s="93">
        <v>38.56</v>
      </c>
      <c r="R21" s="47">
        <v>28.75</v>
      </c>
      <c r="S21" s="47">
        <v>24.6</v>
      </c>
      <c r="T21" s="47">
        <v>18.41</v>
      </c>
      <c r="U21" s="67">
        <v>16.78</v>
      </c>
      <c r="V21" s="67">
        <v>22.77</v>
      </c>
      <c r="W21" s="67">
        <v>24.84</v>
      </c>
      <c r="X21" s="126"/>
      <c r="Y21" s="72">
        <f t="shared" ref="Y21:Z25" si="14">+P21*D21/1000</f>
        <v>193.05250000000001</v>
      </c>
      <c r="Z21" s="48">
        <f t="shared" si="14"/>
        <v>276.47520000000003</v>
      </c>
      <c r="AA21" s="49">
        <f>+F21*R21/1000</f>
        <v>204.8725</v>
      </c>
      <c r="AB21" s="49">
        <f t="shared" ref="AB21:AC25" si="15">+S21*G21/1000</f>
        <v>175.2996</v>
      </c>
      <c r="AC21" s="49">
        <f t="shared" si="15"/>
        <v>131.26090669999999</v>
      </c>
      <c r="AD21" s="73">
        <v>119.97733560000002</v>
      </c>
      <c r="AE21" s="49">
        <v>163.38133052999999</v>
      </c>
      <c r="AF21" s="49">
        <f>+(W21*M21)/1000</f>
        <v>172.59674075999999</v>
      </c>
      <c r="AG21" s="127"/>
      <c r="AI21" s="48">
        <v>6.7</v>
      </c>
      <c r="AJ21" s="48">
        <v>197.49</v>
      </c>
      <c r="AL21" s="81">
        <v>26.01</v>
      </c>
      <c r="AM21" s="50">
        <f>+AL21/W21-1</f>
        <v>4.7101449275362306E-2</v>
      </c>
      <c r="AN21" s="82">
        <f>+AP21-AF21</f>
        <v>5.6341832399999987</v>
      </c>
      <c r="AO21" s="127"/>
      <c r="AP21" s="86">
        <f>+AL21*N21/1000</f>
        <v>178.23092399999999</v>
      </c>
      <c r="AR21" s="48">
        <v>11.373598289249998</v>
      </c>
      <c r="AS21" s="48">
        <v>-6.0260320282500288</v>
      </c>
      <c r="AT21" s="48">
        <v>-9.5707567507500073</v>
      </c>
      <c r="AU21" s="48">
        <v>-8.8618118062499889</v>
      </c>
      <c r="AV21" s="48">
        <v>9.712545739650011</v>
      </c>
      <c r="AW21" s="48">
        <v>16.23483922905001</v>
      </c>
      <c r="AX21" s="48">
        <v>26.952221450000025</v>
      </c>
      <c r="AY21" s="48">
        <v>21.981811780000015</v>
      </c>
      <c r="AZ21" s="48">
        <v>22.191829090000027</v>
      </c>
      <c r="BA21" s="48">
        <v>26.602192600000024</v>
      </c>
      <c r="BB21" s="48">
        <v>20.161661760000015</v>
      </c>
      <c r="BC21" s="48">
        <v>24.292002887470005</v>
      </c>
      <c r="BD21" s="48">
        <v>29.822458876260043</v>
      </c>
      <c r="BE21" s="48">
        <v>24.432014431490018</v>
      </c>
      <c r="BF21" s="82">
        <v>10.6</v>
      </c>
      <c r="BG21" s="48">
        <v>11.690963925670019</v>
      </c>
      <c r="BH21" s="48">
        <v>9.520784993359996</v>
      </c>
      <c r="BI21" s="48">
        <v>8.9607388172800313</v>
      </c>
      <c r="BJ21" s="48">
        <v>2.2234684800000082</v>
      </c>
      <c r="BK21" s="48">
        <v>-5.6281545899999799</v>
      </c>
      <c r="BL21" s="48">
        <v>2.9183023800000285</v>
      </c>
      <c r="BM21" s="48">
        <v>-0.27793355999997971</v>
      </c>
      <c r="BN21" s="48">
        <v>-14.522028509999984</v>
      </c>
      <c r="BO21" s="48">
        <v>-8.7549071400000003</v>
      </c>
      <c r="BP21" s="48">
        <v>-19.663799369999964</v>
      </c>
      <c r="BQ21" s="82">
        <v>-14.730478680000004</v>
      </c>
      <c r="BR21" s="48">
        <v>-29.599924139999985</v>
      </c>
      <c r="BS21" s="48">
        <v>-25.778337690000001</v>
      </c>
      <c r="BT21" s="48">
        <v>-21.053467170000005</v>
      </c>
      <c r="BU21" s="48">
        <v>-4.933320689999988</v>
      </c>
      <c r="BV21" s="48">
        <v>-11</v>
      </c>
      <c r="BW21" s="48">
        <v>-9.5781447599999865</v>
      </c>
      <c r="BX21" s="48">
        <v>-2.0405047599999762</v>
      </c>
      <c r="BY21" s="48">
        <v>0.70045523999999659</v>
      </c>
      <c r="BZ21" s="51">
        <f>+AN21-BY21</f>
        <v>4.9337280000000021</v>
      </c>
      <c r="CA21" s="52">
        <f>+AN21-BX21</f>
        <v>7.6746879999999749</v>
      </c>
      <c r="CB21" s="125"/>
      <c r="CF21" t="s">
        <v>25</v>
      </c>
      <c r="CI21" s="29"/>
    </row>
    <row r="22" spans="1:90" x14ac:dyDescent="0.55000000000000004">
      <c r="A22" s="238"/>
      <c r="B22" s="44" t="s">
        <v>13</v>
      </c>
      <c r="C22" s="1" t="s">
        <v>18</v>
      </c>
      <c r="D22" s="45">
        <v>4130</v>
      </c>
      <c r="E22" s="45">
        <v>4140</v>
      </c>
      <c r="F22" s="45">
        <v>4141</v>
      </c>
      <c r="G22" s="45">
        <v>4197.8230000000003</v>
      </c>
      <c r="H22" s="53">
        <v>4199.8819999999996</v>
      </c>
      <c r="I22" s="53">
        <v>4204.1019999999999</v>
      </c>
      <c r="J22" s="63">
        <v>4209.7039999999997</v>
      </c>
      <c r="K22" s="222">
        <v>4216.3249999999998</v>
      </c>
      <c r="L22" s="63">
        <v>4217.6840000000002</v>
      </c>
      <c r="M22" s="63">
        <v>4175.5590000000002</v>
      </c>
      <c r="N22" s="63">
        <v>4154.8</v>
      </c>
      <c r="O22" s="126"/>
      <c r="P22" s="66">
        <v>53.38</v>
      </c>
      <c r="Q22" s="47">
        <v>60.77</v>
      </c>
      <c r="R22" s="47">
        <v>58.73</v>
      </c>
      <c r="S22" s="47">
        <v>51.96</v>
      </c>
      <c r="T22" s="47">
        <v>39.4</v>
      </c>
      <c r="U22" s="67">
        <v>37.700000000000003</v>
      </c>
      <c r="V22" s="67">
        <v>39.99</v>
      </c>
      <c r="W22" s="67">
        <v>40.729999999999997</v>
      </c>
      <c r="X22" s="126"/>
      <c r="Y22" s="72">
        <f t="shared" si="14"/>
        <v>220.45940000000002</v>
      </c>
      <c r="Z22" s="48">
        <f t="shared" si="14"/>
        <v>251.58780000000002</v>
      </c>
      <c r="AA22" s="49">
        <f>+F22*R22/1000</f>
        <v>243.20093</v>
      </c>
      <c r="AB22" s="49">
        <f t="shared" si="15"/>
        <v>218.11888308000002</v>
      </c>
      <c r="AC22" s="49">
        <f t="shared" si="15"/>
        <v>165.47535079999997</v>
      </c>
      <c r="AD22" s="73">
        <v>158.4946454</v>
      </c>
      <c r="AE22" s="49">
        <v>168.34294374000001</v>
      </c>
      <c r="AF22" s="49">
        <f t="shared" ref="AF22:AF25" si="16">+(W22*M22)/1000</f>
        <v>170.07051806999999</v>
      </c>
      <c r="AG22" s="127"/>
      <c r="AI22" s="48">
        <v>2.6</v>
      </c>
      <c r="AJ22" s="48">
        <v>133.1</v>
      </c>
      <c r="AL22" s="81">
        <v>50.1</v>
      </c>
      <c r="AM22" s="50">
        <f t="shared" ref="AM22:AM25" si="17">+AL22/W22-1</f>
        <v>0.23005155904738528</v>
      </c>
      <c r="AN22" s="82">
        <f t="shared" ref="AN22:AN25" si="18">+AP22-AF22</f>
        <v>38.08496193000002</v>
      </c>
      <c r="AO22" s="127"/>
      <c r="AP22" s="86">
        <f t="shared" ref="AP22:AP25" si="19">+AL22*N22/1000</f>
        <v>208.15548000000001</v>
      </c>
      <c r="AR22" s="48">
        <v>2.3379402599999821</v>
      </c>
      <c r="AS22" s="48">
        <v>-1.1384347499999876</v>
      </c>
      <c r="AT22" s="48">
        <v>-7.6738935000000197</v>
      </c>
      <c r="AU22" s="48">
        <v>-5.1018742500000087</v>
      </c>
      <c r="AV22" s="48">
        <v>15.98025075000001</v>
      </c>
      <c r="AW22" s="48">
        <v>23.52765149999999</v>
      </c>
      <c r="AX22" s="48">
        <v>34.856349120000004</v>
      </c>
      <c r="AY22" s="48">
        <v>35.866678080000014</v>
      </c>
      <c r="AZ22" s="48">
        <v>39.613314639999999</v>
      </c>
      <c r="BA22" s="48">
        <v>43.738824560000012</v>
      </c>
      <c r="BB22" s="48">
        <v>44.833347599999996</v>
      </c>
      <c r="BC22" s="48">
        <v>38.939761999999973</v>
      </c>
      <c r="BD22" s="48">
        <v>40.328964320000011</v>
      </c>
      <c r="BE22" s="48">
        <v>36.498133679999995</v>
      </c>
      <c r="BF22" s="82">
        <v>21.55</v>
      </c>
      <c r="BG22" s="48">
        <v>24.546920879999988</v>
      </c>
      <c r="BH22" s="48">
        <v>23.829914599999995</v>
      </c>
      <c r="BI22" s="48">
        <v>31.126507919999995</v>
      </c>
      <c r="BJ22" s="48">
        <v>27.099377910000015</v>
      </c>
      <c r="BK22" s="48">
        <v>23.550152760000003</v>
      </c>
      <c r="BL22" s="48">
        <v>31.817759580000001</v>
      </c>
      <c r="BM22" s="48">
        <v>29.562957720000043</v>
      </c>
      <c r="BN22" s="48">
        <v>19.37459376000001</v>
      </c>
      <c r="BO22" s="48">
        <v>30.815625420000032</v>
      </c>
      <c r="BP22" s="48">
        <v>19.37459376000001</v>
      </c>
      <c r="BQ22" s="82">
        <v>24.259997790000028</v>
      </c>
      <c r="BR22" s="48">
        <v>7.641272970000017</v>
      </c>
      <c r="BS22" s="48">
        <v>5.8040270100000271</v>
      </c>
      <c r="BT22" s="48">
        <v>11.942098740000034</v>
      </c>
      <c r="BU22" s="48">
        <v>23.59190835000004</v>
      </c>
      <c r="BV22" s="48">
        <v>25</v>
      </c>
      <c r="BW22" s="48">
        <v>25.454369930000013</v>
      </c>
      <c r="BX22" s="48">
        <v>31.35418593</v>
      </c>
      <c r="BY22" s="48">
        <v>35.384341930000033</v>
      </c>
      <c r="BZ22" s="51">
        <f t="shared" ref="BZ22:BZ26" si="20">+AN22-BY22</f>
        <v>2.7006199999999865</v>
      </c>
      <c r="CA22" s="52">
        <f t="shared" ref="CA22:CA26" si="21">+AN22-BX22</f>
        <v>6.7307760000000201</v>
      </c>
      <c r="CB22" s="125"/>
      <c r="CF22" t="s">
        <v>25</v>
      </c>
    </row>
    <row r="23" spans="1:90" x14ac:dyDescent="0.55000000000000004">
      <c r="A23" s="238"/>
      <c r="B23" s="44" t="s">
        <v>14</v>
      </c>
      <c r="C23" s="1" t="s">
        <v>19</v>
      </c>
      <c r="D23" s="45">
        <v>850.22</v>
      </c>
      <c r="E23" s="45">
        <v>855.57</v>
      </c>
      <c r="F23" s="45">
        <v>1241.578</v>
      </c>
      <c r="G23" s="45">
        <v>1249.29</v>
      </c>
      <c r="H23" s="53">
        <v>1219.383</v>
      </c>
      <c r="I23" s="53">
        <v>1186.867575</v>
      </c>
      <c r="J23" s="63">
        <v>1141.7449999999999</v>
      </c>
      <c r="K23" s="222">
        <v>1125.4190000000001</v>
      </c>
      <c r="L23" s="63">
        <v>1101.8630000000001</v>
      </c>
      <c r="M23" s="63">
        <v>1082.2049999999999</v>
      </c>
      <c r="N23" s="63">
        <v>1072.7</v>
      </c>
      <c r="O23" s="126"/>
      <c r="P23" s="66">
        <v>63.61</v>
      </c>
      <c r="Q23" s="47">
        <v>78.42</v>
      </c>
      <c r="R23" s="47">
        <v>134.85</v>
      </c>
      <c r="S23" s="47">
        <v>115.98</v>
      </c>
      <c r="T23" s="47">
        <v>140</v>
      </c>
      <c r="U23" s="67">
        <v>160.33000000000001</v>
      </c>
      <c r="V23" s="67">
        <v>220.73</v>
      </c>
      <c r="W23" s="67">
        <v>199.58</v>
      </c>
      <c r="X23" s="126"/>
      <c r="Y23" s="72">
        <f t="shared" si="14"/>
        <v>54.082494199999999</v>
      </c>
      <c r="Z23" s="48">
        <f t="shared" si="14"/>
        <v>67.093799400000009</v>
      </c>
      <c r="AA23" s="49">
        <f>+F23*R23/1000</f>
        <v>167.42679329999999</v>
      </c>
      <c r="AB23" s="49">
        <f t="shared" si="15"/>
        <v>144.89265419999998</v>
      </c>
      <c r="AC23" s="49">
        <f t="shared" si="15"/>
        <v>170.71361999999999</v>
      </c>
      <c r="AD23" s="73">
        <v>185.41763675000001</v>
      </c>
      <c r="AE23" s="49">
        <v>256.15429551</v>
      </c>
      <c r="AF23" s="49">
        <f t="shared" si="16"/>
        <v>215.98647390000002</v>
      </c>
      <c r="AG23" s="127"/>
      <c r="AI23" s="48">
        <v>1.7</v>
      </c>
      <c r="AJ23" s="48">
        <v>44.4</v>
      </c>
      <c r="AL23" s="81">
        <v>181.37</v>
      </c>
      <c r="AM23" s="50">
        <f t="shared" si="17"/>
        <v>-9.1241607375488587E-2</v>
      </c>
      <c r="AN23" s="82">
        <f t="shared" si="18"/>
        <v>-21.430874899999992</v>
      </c>
      <c r="AO23" s="127"/>
      <c r="AP23" s="86">
        <f t="shared" si="19"/>
        <v>194.55559900000003</v>
      </c>
      <c r="AR23" s="48">
        <v>-31.334388509999997</v>
      </c>
      <c r="AS23" s="48">
        <v>1.0961368600000014</v>
      </c>
      <c r="AT23" s="48">
        <v>-14.831402820000022</v>
      </c>
      <c r="AU23" s="48">
        <v>-15.155769850000013</v>
      </c>
      <c r="AV23" s="48">
        <v>-2.6508615900000052</v>
      </c>
      <c r="AW23" s="48">
        <v>-2.4495303300000444</v>
      </c>
      <c r="AX23" s="48">
        <v>21.949110960000013</v>
      </c>
      <c r="AY23" s="48">
        <v>17.497584440000026</v>
      </c>
      <c r="AZ23" s="48">
        <v>19.293621129999991</v>
      </c>
      <c r="BA23" s="48">
        <v>24.229967369999997</v>
      </c>
      <c r="BB23" s="48">
        <v>19.624180029999991</v>
      </c>
      <c r="BC23" s="48">
        <v>9.7955597497099802</v>
      </c>
      <c r="BD23" s="48">
        <v>12.384937186359963</v>
      </c>
      <c r="BE23" s="48">
        <v>2.0053901849800013</v>
      </c>
      <c r="BF23" s="82">
        <v>-4.4000000000000004</v>
      </c>
      <c r="BG23" s="48">
        <v>-2.1045583300000033</v>
      </c>
      <c r="BH23" s="48">
        <v>-10.776220139999964</v>
      </c>
      <c r="BI23" s="48">
        <v>-3.8785577599999783</v>
      </c>
      <c r="BJ23" s="48">
        <v>-6.4391197500000601</v>
      </c>
      <c r="BK23" s="48">
        <v>-15.540463800000026</v>
      </c>
      <c r="BL23" s="48">
        <v>-8.7766825500000323</v>
      </c>
      <c r="BM23" s="48">
        <v>-13.04057025000003</v>
      </c>
      <c r="BN23" s="48">
        <v>-23.245763400000044</v>
      </c>
      <c r="BO23" s="48">
        <v>-11.341508400000038</v>
      </c>
      <c r="BP23" s="48">
        <v>-19.382291550000076</v>
      </c>
      <c r="BQ23" s="82">
        <v>-18.28926450000003</v>
      </c>
      <c r="BR23" s="48">
        <v>-23.873442300000022</v>
      </c>
      <c r="BS23" s="48">
        <v>-12.953993850000018</v>
      </c>
      <c r="BT23" s="48">
        <v>-7.7377657500000225</v>
      </c>
      <c r="BU23" s="48">
        <v>-21.092175450000013</v>
      </c>
      <c r="BV23" s="48">
        <v>-29</v>
      </c>
      <c r="BW23" s="48">
        <v>-25.914760900000005</v>
      </c>
      <c r="BX23" s="48">
        <v>-20.100726899999984</v>
      </c>
      <c r="BY23" s="48">
        <v>-19.639465900000033</v>
      </c>
      <c r="BZ23" s="51">
        <f t="shared" si="20"/>
        <v>-1.791408999999959</v>
      </c>
      <c r="CA23" s="52">
        <f t="shared" si="21"/>
        <v>-1.3301480000000083</v>
      </c>
      <c r="CB23" s="125"/>
      <c r="CI23" s="29"/>
    </row>
    <row r="24" spans="1:90" x14ac:dyDescent="0.55000000000000004">
      <c r="A24" s="238"/>
      <c r="B24" s="44" t="s">
        <v>15</v>
      </c>
      <c r="C24" s="1" t="s">
        <v>20</v>
      </c>
      <c r="D24" s="45">
        <v>4517</v>
      </c>
      <c r="E24" s="45">
        <v>4540</v>
      </c>
      <c r="F24" s="45">
        <v>4598.2</v>
      </c>
      <c r="G24" s="45">
        <v>4533.2299999999996</v>
      </c>
      <c r="H24" s="46">
        <v>4216.0559999999996</v>
      </c>
      <c r="I24" s="53">
        <f>3962.413+9.444375</f>
        <v>3971.857375</v>
      </c>
      <c r="J24" s="63">
        <v>3781.0219999999999</v>
      </c>
      <c r="K24" s="223">
        <v>3692.2060000000001</v>
      </c>
      <c r="L24" s="63">
        <f>3588.402+9.444</f>
        <v>3597.846</v>
      </c>
      <c r="M24" s="63">
        <f>3652.784+9.444</f>
        <v>3662.2280000000001</v>
      </c>
      <c r="N24" s="63">
        <v>3548.6</v>
      </c>
      <c r="O24" s="126"/>
      <c r="P24" s="66">
        <v>33.39</v>
      </c>
      <c r="Q24" s="47">
        <v>44.76</v>
      </c>
      <c r="R24" s="47">
        <v>52.4</v>
      </c>
      <c r="S24" s="47">
        <v>50.33</v>
      </c>
      <c r="T24" s="47">
        <v>34.97</v>
      </c>
      <c r="U24" s="67">
        <v>43.85</v>
      </c>
      <c r="V24" s="67">
        <v>37.53</v>
      </c>
      <c r="W24" s="69">
        <v>28.01</v>
      </c>
      <c r="X24" s="126"/>
      <c r="Y24" s="72">
        <f t="shared" si="14"/>
        <v>150.82263</v>
      </c>
      <c r="Z24" s="48">
        <f t="shared" si="14"/>
        <v>203.21039999999999</v>
      </c>
      <c r="AA24" s="48">
        <f>+F24*R24/1000</f>
        <v>240.94567999999998</v>
      </c>
      <c r="AB24" s="49">
        <f t="shared" si="15"/>
        <v>228.15746589999998</v>
      </c>
      <c r="AC24" s="49">
        <f t="shared" si="15"/>
        <v>147.43547831999999</v>
      </c>
      <c r="AD24" s="73">
        <v>176.49975800000001</v>
      </c>
      <c r="AE24" s="49">
        <v>143.61000867000001</v>
      </c>
      <c r="AF24" s="49">
        <f t="shared" si="16"/>
        <v>102.57900628</v>
      </c>
      <c r="AG24" s="127"/>
      <c r="AI24" s="48">
        <v>5.5</v>
      </c>
      <c r="AJ24" s="48">
        <v>112</v>
      </c>
      <c r="AL24" s="81">
        <v>27.06</v>
      </c>
      <c r="AM24" s="50">
        <f t="shared" si="17"/>
        <v>-3.3916458407711625E-2</v>
      </c>
      <c r="AN24" s="82">
        <f t="shared" si="18"/>
        <v>-6.5538902800000045</v>
      </c>
      <c r="AO24" s="127"/>
      <c r="AP24" s="86">
        <f t="shared" si="19"/>
        <v>96.025115999999997</v>
      </c>
      <c r="AR24" s="54">
        <v>-35.532112630000015</v>
      </c>
      <c r="AS24" s="54">
        <v>1.3118018400000011</v>
      </c>
      <c r="AT24" s="54">
        <v>-0.69233986000000414</v>
      </c>
      <c r="AU24" s="54">
        <v>4.7006232600000004</v>
      </c>
      <c r="AV24" s="54">
        <v>6.3403755599999982</v>
      </c>
      <c r="AW24" s="54">
        <v>12.088762560000006</v>
      </c>
      <c r="AX24" s="54">
        <v>12.808331759999987</v>
      </c>
      <c r="AY24" s="54">
        <v>11.980827179999991</v>
      </c>
      <c r="AZ24" s="54">
        <v>10.613645699999992</v>
      </c>
      <c r="BA24" s="54">
        <v>14.03159939999999</v>
      </c>
      <c r="BB24" s="54">
        <v>7.7353688999999832</v>
      </c>
      <c r="BC24" s="54">
        <v>3.6338244599999854</v>
      </c>
      <c r="BD24" s="54">
        <v>1.1513107199999695</v>
      </c>
      <c r="BE24" s="54">
        <v>-0.28782768000000658</v>
      </c>
      <c r="BF24" s="82">
        <v>-0.4</v>
      </c>
      <c r="BG24" s="48">
        <v>5.8285105199999805</v>
      </c>
      <c r="BH24" s="48">
        <v>-1.6190307000000246</v>
      </c>
      <c r="BI24" s="48">
        <v>-2.9502337199999999</v>
      </c>
      <c r="BJ24" s="48">
        <v>-9.5584150800000032</v>
      </c>
      <c r="BK24" s="48">
        <v>-11.902240999999989</v>
      </c>
      <c r="BL24" s="48">
        <v>-10.254238400000006</v>
      </c>
      <c r="BM24" s="48">
        <v>-11.499395919999998</v>
      </c>
      <c r="BN24" s="48">
        <v>-15.344735319999998</v>
      </c>
      <c r="BO24" s="48">
        <v>-12.854420279999999</v>
      </c>
      <c r="BP24" s="48">
        <v>-20.435232239999991</v>
      </c>
      <c r="BQ24" s="82">
        <v>-17.725183519999987</v>
      </c>
      <c r="BR24" s="48">
        <v>-15.454602160000007</v>
      </c>
      <c r="BS24" s="48">
        <v>-16.260292319999991</v>
      </c>
      <c r="BT24" s="48">
        <v>-15.454602160000007</v>
      </c>
      <c r="BU24" s="48">
        <v>-20.911321880000003</v>
      </c>
      <c r="BV24" s="54">
        <v>-14</v>
      </c>
      <c r="BW24" s="54">
        <v>-12.586510279999999</v>
      </c>
      <c r="BX24" s="54">
        <v>-9.6766582799999981</v>
      </c>
      <c r="BY24" s="54">
        <v>-7.2990962800000005</v>
      </c>
      <c r="BZ24" s="51">
        <f t="shared" si="20"/>
        <v>0.74520599999999604</v>
      </c>
      <c r="CA24" s="52">
        <f t="shared" si="21"/>
        <v>3.1227679999999935</v>
      </c>
      <c r="CB24" s="125"/>
      <c r="CI24" s="29"/>
    </row>
    <row r="25" spans="1:90" x14ac:dyDescent="0.55000000000000004">
      <c r="A25" s="238"/>
      <c r="B25" s="55" t="s">
        <v>16</v>
      </c>
      <c r="C25" s="6" t="s">
        <v>21</v>
      </c>
      <c r="D25" s="7">
        <v>225.34</v>
      </c>
      <c r="E25" s="7">
        <v>214.78</v>
      </c>
      <c r="F25" s="7">
        <v>193.73099999999999</v>
      </c>
      <c r="G25" s="7">
        <v>172.74100000000001</v>
      </c>
      <c r="H25" s="28">
        <v>152.65100000000001</v>
      </c>
      <c r="I25" s="40">
        <v>145.225458</v>
      </c>
      <c r="J25" s="91">
        <v>141.946</v>
      </c>
      <c r="K25" s="224">
        <v>136.59100000000001</v>
      </c>
      <c r="L25" s="64">
        <v>126.63200000000001</v>
      </c>
      <c r="M25" s="64">
        <v>122.985</v>
      </c>
      <c r="N25" s="224">
        <v>119.3</v>
      </c>
      <c r="O25" s="126"/>
      <c r="P25" s="70">
        <v>284.97000000000003</v>
      </c>
      <c r="Q25" s="8">
        <v>485.08</v>
      </c>
      <c r="R25" s="8">
        <v>661.55</v>
      </c>
      <c r="S25" s="8">
        <v>651.97</v>
      </c>
      <c r="T25" s="8">
        <v>339.1</v>
      </c>
      <c r="U25" s="71">
        <v>388.68</v>
      </c>
      <c r="V25" s="171">
        <v>342.77</v>
      </c>
      <c r="W25" s="171">
        <v>208.75</v>
      </c>
      <c r="X25" s="126"/>
      <c r="Y25" s="75">
        <f t="shared" si="14"/>
        <v>64.215139800000003</v>
      </c>
      <c r="Z25" s="9">
        <f t="shared" si="14"/>
        <v>104.1854824</v>
      </c>
      <c r="AA25" s="9">
        <f>+F25*R25/1000</f>
        <v>128.16274304999999</v>
      </c>
      <c r="AB25" s="14">
        <f t="shared" si="15"/>
        <v>112.62194977</v>
      </c>
      <c r="AC25" s="14">
        <f t="shared" si="15"/>
        <v>51.763954100000007</v>
      </c>
      <c r="AD25" s="76">
        <v>57.493662204000003</v>
      </c>
      <c r="AE25" s="14">
        <v>48.740180149999993</v>
      </c>
      <c r="AF25" s="14">
        <f t="shared" si="16"/>
        <v>25.67311875</v>
      </c>
      <c r="AG25" s="127"/>
      <c r="AI25" s="9">
        <v>3.5</v>
      </c>
      <c r="AJ25" s="9">
        <v>78.400000000000006</v>
      </c>
      <c r="AL25" s="83">
        <v>153.62</v>
      </c>
      <c r="AM25" s="15">
        <f t="shared" si="17"/>
        <v>-0.26409580838323354</v>
      </c>
      <c r="AN25" s="84">
        <f t="shared" si="18"/>
        <v>-7.3462527499999979</v>
      </c>
      <c r="AO25" s="127"/>
      <c r="AP25" s="87">
        <f t="shared" si="19"/>
        <v>18.326866000000003</v>
      </c>
      <c r="AR25" s="9">
        <v>-21.931811709999995</v>
      </c>
      <c r="AS25" s="9">
        <v>0.23811255999999759</v>
      </c>
      <c r="AT25" s="9">
        <v>-2.457476910000004</v>
      </c>
      <c r="AU25" s="9">
        <v>-2.2077175400000044</v>
      </c>
      <c r="AV25" s="9">
        <v>-0.34034567000000493</v>
      </c>
      <c r="AW25" s="9">
        <v>2.8352904800000012</v>
      </c>
      <c r="AX25" s="9">
        <v>3.8420148800000042</v>
      </c>
      <c r="AY25" s="9">
        <v>2.7111911200000023</v>
      </c>
      <c r="AZ25" s="9">
        <v>3.2772361600000011</v>
      </c>
      <c r="BA25" s="9">
        <v>2.9745856800000041</v>
      </c>
      <c r="BB25" s="9">
        <v>1.1954060800000015</v>
      </c>
      <c r="BC25" s="9">
        <v>0.53945232000000232</v>
      </c>
      <c r="BD25" s="9">
        <v>1.3157064800000029</v>
      </c>
      <c r="BE25" s="9">
        <v>1.3980172800000013</v>
      </c>
      <c r="BF25" s="84">
        <v>3</v>
      </c>
      <c r="BG25" s="9">
        <v>3.5292338400000034</v>
      </c>
      <c r="BH25" s="9">
        <v>-3.6242078399999968</v>
      </c>
      <c r="BI25" s="9">
        <v>-4.6866503199999947</v>
      </c>
      <c r="BJ25" s="9">
        <v>-6.6276616499999967</v>
      </c>
      <c r="BK25" s="9">
        <v>-8.414633699999996</v>
      </c>
      <c r="BL25" s="9">
        <v>-7.8218460000000007</v>
      </c>
      <c r="BM25" s="9">
        <v>-7.9571294999999971</v>
      </c>
      <c r="BN25" s="9">
        <v>-9.4243405500000001</v>
      </c>
      <c r="BO25" s="9">
        <v>-7.7394460500000015</v>
      </c>
      <c r="BP25" s="9">
        <v>-10.1487222</v>
      </c>
      <c r="BQ25" s="84">
        <v>-9.2374033500000046</v>
      </c>
      <c r="BR25" s="9">
        <v>-8.7995767500000035</v>
      </c>
      <c r="BS25" s="9">
        <v>-9.5952897000000021</v>
      </c>
      <c r="BT25" s="9">
        <v>-9.5165793000000001</v>
      </c>
      <c r="BU25" s="9">
        <v>-10.507838399999999</v>
      </c>
      <c r="BV25" s="9">
        <v>-8</v>
      </c>
      <c r="BW25" s="9">
        <v>-7.4715177500000003</v>
      </c>
      <c r="BX25" s="9">
        <v>-7.2687077500000008</v>
      </c>
      <c r="BY25" s="9">
        <v>-7.7578377500000002</v>
      </c>
      <c r="BZ25" s="27">
        <f t="shared" si="20"/>
        <v>0.41158500000000231</v>
      </c>
      <c r="CA25" s="27">
        <f t="shared" si="21"/>
        <v>-7.7544999999997088E-2</v>
      </c>
      <c r="CB25" s="125"/>
      <c r="CI25" s="29"/>
    </row>
    <row r="26" spans="1:90" x14ac:dyDescent="0.55000000000000004">
      <c r="A26" s="238"/>
      <c r="B26" s="56"/>
      <c r="C26" s="43" t="s">
        <v>25</v>
      </c>
      <c r="D26" s="43"/>
      <c r="E26" s="43"/>
      <c r="F26" s="3"/>
      <c r="G26" s="3"/>
      <c r="H26" s="3"/>
      <c r="I26" s="3"/>
      <c r="J26" s="65"/>
      <c r="K26" s="65"/>
      <c r="L26" s="65"/>
      <c r="M26" s="65"/>
      <c r="N26" s="65"/>
      <c r="O26" s="126"/>
      <c r="P26" s="56"/>
      <c r="Q26" s="3"/>
      <c r="R26" s="3"/>
      <c r="S26" s="3"/>
      <c r="T26" s="3"/>
      <c r="W26" s="100" t="s">
        <v>10</v>
      </c>
      <c r="X26" s="126"/>
      <c r="Y26" s="77">
        <f>SUM(Y21:Y25)</f>
        <v>682.63216399999999</v>
      </c>
      <c r="Z26" s="4">
        <f>SUM(Z21:Z25)</f>
        <v>902.55268180000007</v>
      </c>
      <c r="AA26" s="4">
        <f>SUM(AA21:AA25)</f>
        <v>984.60864635000007</v>
      </c>
      <c r="AB26" s="4">
        <f>SUM(AB21:AB25)</f>
        <v>879.09055294999996</v>
      </c>
      <c r="AC26" s="4">
        <f>SUM(AC21:AC25)</f>
        <v>666.64930991999995</v>
      </c>
      <c r="AD26" s="78">
        <v>697.88303795400009</v>
      </c>
      <c r="AE26" s="4">
        <v>780.22875859999999</v>
      </c>
      <c r="AF26" s="4">
        <f>SUM(AF21:AF25)</f>
        <v>686.90585776</v>
      </c>
      <c r="AG26" s="127"/>
      <c r="AI26" s="48">
        <f>SUM(AI21:AI25)</f>
        <v>20</v>
      </c>
      <c r="AJ26" s="48">
        <f>SUM(AJ21:AJ25)</f>
        <v>565.39</v>
      </c>
      <c r="AL26" s="44"/>
      <c r="AN26" s="78">
        <f>SUM(AN21:AN25)</f>
        <v>8.3881272400000242</v>
      </c>
      <c r="AO26" s="127"/>
      <c r="AP26" s="94">
        <f>SUM(AP21:AP25)</f>
        <v>695.29398500000002</v>
      </c>
      <c r="AR26" s="175">
        <v>-75.086774300750022</v>
      </c>
      <c r="AS26" s="175">
        <v>-4.5184155182500163</v>
      </c>
      <c r="AT26" s="175">
        <v>-35.225869840750057</v>
      </c>
      <c r="AU26" s="175">
        <v>-26.626550186250014</v>
      </c>
      <c r="AV26" s="175">
        <v>29.041964789650009</v>
      </c>
      <c r="AW26" s="175">
        <v>52.23701343904996</v>
      </c>
      <c r="AX26" s="175">
        <v>100.40802817000004</v>
      </c>
      <c r="AY26" s="175">
        <v>90.038092600000056</v>
      </c>
      <c r="AZ26" s="175">
        <v>94.98964672000001</v>
      </c>
      <c r="BA26" s="175">
        <v>111.57716961000003</v>
      </c>
      <c r="BB26" s="175">
        <v>93.549964369999984</v>
      </c>
      <c r="BC26" s="175">
        <v>77.200601417179939</v>
      </c>
      <c r="BD26" s="175">
        <v>85.00337758261999</v>
      </c>
      <c r="BE26" s="175">
        <v>64.045727896470012</v>
      </c>
      <c r="BF26" s="78">
        <f>SUM(BF21:BF25)</f>
        <v>30.35</v>
      </c>
      <c r="BG26" s="4">
        <v>43.491070835669987</v>
      </c>
      <c r="BH26" s="4">
        <v>17.331240913360006</v>
      </c>
      <c r="BI26" s="4">
        <v>28.571804937280053</v>
      </c>
      <c r="BJ26" s="4">
        <v>6.6976499099999636</v>
      </c>
      <c r="BK26" s="4">
        <v>-17.935340329999988</v>
      </c>
      <c r="BL26" s="4">
        <v>7.8832950099999906</v>
      </c>
      <c r="BM26" s="4">
        <v>-3.2120715099999622</v>
      </c>
      <c r="BN26" s="4">
        <v>-43.162274020000012</v>
      </c>
      <c r="BO26" s="4">
        <v>-9.8746564500000069</v>
      </c>
      <c r="BP26" s="4">
        <v>-50.255451600000022</v>
      </c>
      <c r="BQ26" s="78">
        <v>-35.722332260000002</v>
      </c>
      <c r="BR26" s="4">
        <v>-70.086272379999997</v>
      </c>
      <c r="BS26" s="4">
        <v>-58.783886549999984</v>
      </c>
      <c r="BT26" s="4">
        <v>-41.820315640000004</v>
      </c>
      <c r="BU26" s="4">
        <v>-33.852748069999961</v>
      </c>
      <c r="BV26" s="175">
        <v>-36</v>
      </c>
      <c r="BW26" s="175">
        <v>-30.096563759999977</v>
      </c>
      <c r="BX26" s="175">
        <v>-7.7324117599999589</v>
      </c>
      <c r="BY26" s="175">
        <v>1.3883972399999962</v>
      </c>
      <c r="BZ26" s="51">
        <f t="shared" si="20"/>
        <v>6.999730000000028</v>
      </c>
      <c r="CA26" s="51">
        <f t="shared" si="21"/>
        <v>16.120538999999983</v>
      </c>
      <c r="CB26" s="125"/>
      <c r="CE26" s="49" t="s">
        <v>25</v>
      </c>
      <c r="CI26" s="29"/>
    </row>
    <row r="27" spans="1:90" x14ac:dyDescent="0.55000000000000004">
      <c r="A27" s="238"/>
      <c r="B27" s="56"/>
      <c r="J27" s="58"/>
      <c r="K27" s="58"/>
      <c r="L27" s="58"/>
      <c r="M27" s="58"/>
      <c r="N27" s="58"/>
      <c r="O27" s="126"/>
      <c r="P27" s="44"/>
      <c r="W27" s="100" t="s">
        <v>29</v>
      </c>
      <c r="X27" s="126"/>
      <c r="Y27" s="44"/>
      <c r="Z27" s="17">
        <f t="shared" ref="Z27:AE27" si="22">+Z26-Y26</f>
        <v>219.92051780000008</v>
      </c>
      <c r="AA27" s="17">
        <f t="shared" si="22"/>
        <v>82.055964549999999</v>
      </c>
      <c r="AB27" s="17">
        <f t="shared" si="22"/>
        <v>-105.51809340000011</v>
      </c>
      <c r="AC27" s="17">
        <f t="shared" si="22"/>
        <v>-212.44124303000001</v>
      </c>
      <c r="AD27" s="79">
        <f t="shared" si="22"/>
        <v>31.233728034000137</v>
      </c>
      <c r="AE27" s="17">
        <f t="shared" si="22"/>
        <v>82.345720645999904</v>
      </c>
      <c r="AF27" s="17">
        <f>+AF26-AE26</f>
        <v>-93.322900839999988</v>
      </c>
      <c r="AG27" s="127"/>
      <c r="AL27" s="44"/>
      <c r="AN27" s="58"/>
      <c r="AO27" s="127"/>
      <c r="AP27" s="99" t="s">
        <v>25</v>
      </c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18" t="s">
        <v>25</v>
      </c>
      <c r="CA27" s="58"/>
      <c r="CB27" s="125"/>
    </row>
    <row r="28" spans="1:90" x14ac:dyDescent="0.55000000000000004">
      <c r="A28" s="238"/>
      <c r="B28" s="59"/>
      <c r="C28" s="5"/>
      <c r="D28" s="5"/>
      <c r="E28" s="5"/>
      <c r="F28" s="5"/>
      <c r="G28" s="5"/>
      <c r="H28" s="5" t="s">
        <v>25</v>
      </c>
      <c r="I28" s="5"/>
      <c r="J28" s="61"/>
      <c r="K28" s="58"/>
      <c r="L28" s="58"/>
      <c r="M28" s="58"/>
      <c r="N28" s="58"/>
      <c r="O28" s="126"/>
      <c r="P28" s="55"/>
      <c r="Q28" s="5"/>
      <c r="R28" s="5"/>
      <c r="S28" s="5"/>
      <c r="T28" s="5"/>
      <c r="W28" s="101" t="s">
        <v>47</v>
      </c>
      <c r="X28" s="126"/>
      <c r="Y28" s="55"/>
      <c r="Z28" s="60"/>
      <c r="AA28" s="60">
        <f>+AA27+Z27</f>
        <v>301.97648235000008</v>
      </c>
      <c r="AB28" s="60">
        <f>+AA28+AB27</f>
        <v>196.45838894999997</v>
      </c>
      <c r="AC28" s="60">
        <f>+AB28+AC27</f>
        <v>-15.982854080000038</v>
      </c>
      <c r="AD28" s="80">
        <f>+AC28+AD27</f>
        <v>15.250873954000099</v>
      </c>
      <c r="AE28" s="17">
        <f>+AD28+AE27</f>
        <v>97.596594600000003</v>
      </c>
      <c r="AF28" s="17">
        <f>+AE28+AF27</f>
        <v>4.2736937600000147</v>
      </c>
      <c r="AG28" s="127"/>
      <c r="AL28" s="55"/>
      <c r="AM28" s="5"/>
      <c r="AN28" s="61"/>
      <c r="AO28" s="127"/>
      <c r="AP28" s="5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61"/>
      <c r="CB28" s="125"/>
    </row>
    <row r="29" spans="1:90" ht="4.5" customHeight="1" x14ac:dyDescent="0.55000000000000004">
      <c r="A29" s="239"/>
      <c r="B29" s="120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2"/>
      <c r="V29" s="122"/>
      <c r="W29" s="122"/>
      <c r="X29" s="121"/>
      <c r="Y29" s="121"/>
      <c r="Z29" s="123"/>
      <c r="AA29" s="123"/>
      <c r="AB29" s="123"/>
      <c r="AC29" s="123"/>
      <c r="AD29" s="123"/>
      <c r="AE29" s="123"/>
      <c r="AF29" s="123"/>
      <c r="AG29" s="121"/>
      <c r="AH29" s="121"/>
      <c r="AI29" s="121"/>
      <c r="AJ29" s="121"/>
      <c r="AK29" s="121"/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  <c r="BG29" s="121"/>
      <c r="BH29" s="121"/>
      <c r="BI29" s="121"/>
      <c r="BJ29" s="121"/>
      <c r="BK29" s="121"/>
      <c r="BL29" s="121"/>
      <c r="BM29" s="121"/>
      <c r="BN29" s="121"/>
      <c r="BO29" s="121"/>
      <c r="BP29" s="121"/>
      <c r="BQ29" s="121"/>
      <c r="BR29" s="121"/>
      <c r="BS29" s="121"/>
      <c r="BT29" s="121"/>
      <c r="BU29" s="121"/>
      <c r="BV29" s="121"/>
      <c r="BW29" s="121"/>
      <c r="BX29" s="121"/>
      <c r="BY29" s="121"/>
      <c r="BZ29" s="121"/>
      <c r="CA29" s="121"/>
      <c r="CB29" s="124"/>
    </row>
    <row r="30" spans="1:90" ht="5.25" customHeight="1" x14ac:dyDescent="0.55000000000000004">
      <c r="B30" s="3"/>
      <c r="Z30" s="17"/>
      <c r="AA30" s="17"/>
      <c r="AB30" s="17"/>
      <c r="AC30" s="17"/>
      <c r="AD30" s="17"/>
      <c r="AE30" s="17"/>
      <c r="AF30" s="17"/>
    </row>
    <row r="31" spans="1:90" x14ac:dyDescent="0.55000000000000004">
      <c r="S31" s="103"/>
      <c r="T31" s="95"/>
      <c r="U31" s="102" t="s">
        <v>74</v>
      </c>
      <c r="V31" s="102"/>
      <c r="W31" s="102"/>
      <c r="X31" s="96"/>
      <c r="Y31" s="97">
        <f t="shared" ref="Y31:AF31" si="23">+Y13/Y26</f>
        <v>4.8819216734709849</v>
      </c>
      <c r="Z31" s="97">
        <f t="shared" si="23"/>
        <v>5.4414616663100137</v>
      </c>
      <c r="AA31" s="97">
        <f t="shared" si="23"/>
        <v>7.609105000980068</v>
      </c>
      <c r="AB31" s="97">
        <f t="shared" si="23"/>
        <v>11.328454755793995</v>
      </c>
      <c r="AC31" s="97">
        <f t="shared" si="23"/>
        <v>9.2253174837338179</v>
      </c>
      <c r="AD31" s="97">
        <f t="shared" si="23"/>
        <v>14.376134476736347</v>
      </c>
      <c r="AE31" s="97">
        <f t="shared" si="23"/>
        <v>16.707003492449836</v>
      </c>
      <c r="AF31" s="97">
        <f t="shared" si="23"/>
        <v>22.631906772633258</v>
      </c>
      <c r="AG31" s="96"/>
      <c r="AH31" s="95"/>
      <c r="AI31" s="95"/>
      <c r="AJ31" s="95"/>
      <c r="AK31" s="95"/>
      <c r="AL31" s="95"/>
      <c r="AM31" s="95"/>
      <c r="AN31" s="95"/>
      <c r="AO31" s="96"/>
      <c r="AP31" s="98">
        <f>+AP13/AP26</f>
        <v>24.476991576448054</v>
      </c>
    </row>
    <row r="32" spans="1:90" x14ac:dyDescent="0.55000000000000004">
      <c r="B32" s="3"/>
      <c r="Z32" s="17"/>
      <c r="AA32" s="17"/>
      <c r="AB32" s="17"/>
      <c r="AC32" s="17"/>
      <c r="AD32" s="17"/>
      <c r="AE32" s="17"/>
      <c r="AF32" s="17"/>
    </row>
    <row r="33" spans="2:40" x14ac:dyDescent="0.55000000000000004">
      <c r="B33" s="3"/>
      <c r="Z33" s="17"/>
      <c r="AA33" s="17"/>
      <c r="AB33" s="17"/>
      <c r="AC33" s="17"/>
      <c r="AD33" s="17"/>
      <c r="AE33" s="17"/>
      <c r="AF33" s="17"/>
    </row>
    <row r="34" spans="2:40" x14ac:dyDescent="0.55000000000000004">
      <c r="B34" s="16" t="s">
        <v>28</v>
      </c>
      <c r="AN34" s="18" t="s">
        <v>25</v>
      </c>
    </row>
    <row r="36" spans="2:40" x14ac:dyDescent="0.55000000000000004">
      <c r="AL36" t="s">
        <v>25</v>
      </c>
      <c r="AM36" t="s">
        <v>25</v>
      </c>
      <c r="AN36" t="s">
        <v>25</v>
      </c>
    </row>
    <row r="37" spans="2:40" x14ac:dyDescent="0.55000000000000004">
      <c r="AL37" t="s">
        <v>25</v>
      </c>
      <c r="AM37" t="s">
        <v>25</v>
      </c>
      <c r="AN37" t="s">
        <v>25</v>
      </c>
    </row>
    <row r="38" spans="2:40" x14ac:dyDescent="0.55000000000000004">
      <c r="AM38" t="s">
        <v>25</v>
      </c>
      <c r="AN38" t="s">
        <v>25</v>
      </c>
    </row>
  </sheetData>
  <mergeCells count="8">
    <mergeCell ref="A5:A16"/>
    <mergeCell ref="A18:A29"/>
    <mergeCell ref="AL6:AN6"/>
    <mergeCell ref="AL19:AN19"/>
    <mergeCell ref="U6:W6"/>
    <mergeCell ref="U19:W19"/>
    <mergeCell ref="AD6:AF6"/>
    <mergeCell ref="AD19:AF19"/>
  </mergeCells>
  <pageMargins left="0.25" right="0.25" top="0.75" bottom="0.75" header="0.3" footer="0.3"/>
  <pageSetup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BB0F-AEB9-424B-9BFF-D7C865E46A6D}">
  <dimension ref="A1:H152"/>
  <sheetViews>
    <sheetView topLeftCell="A123" workbookViewId="0">
      <selection activeCell="I151" sqref="I151"/>
    </sheetView>
  </sheetViews>
  <sheetFormatPr defaultRowHeight="14.4" x14ac:dyDescent="0.55000000000000004"/>
  <cols>
    <col min="1" max="1" width="13.68359375" customWidth="1"/>
    <col min="2" max="2" width="12.83984375" customWidth="1"/>
    <col min="3" max="3" width="13.578125" customWidth="1"/>
    <col min="4" max="4" width="13.1015625" customWidth="1"/>
    <col min="5" max="5" width="11.578125" customWidth="1"/>
    <col min="6" max="6" width="12.26171875" customWidth="1"/>
    <col min="7" max="7" width="12.1015625" customWidth="1"/>
    <col min="8" max="8" width="13" customWidth="1"/>
  </cols>
  <sheetData>
    <row r="1" spans="1:8" x14ac:dyDescent="0.55000000000000004">
      <c r="A1" s="22">
        <v>44377</v>
      </c>
      <c r="B1" s="23" t="s">
        <v>11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40</v>
      </c>
      <c r="H1" s="23" t="s">
        <v>43</v>
      </c>
    </row>
    <row r="2" spans="1:8" x14ac:dyDescent="0.55000000000000004">
      <c r="A2" t="s">
        <v>2</v>
      </c>
      <c r="B2" s="2">
        <v>34050</v>
      </c>
      <c r="C2" s="2">
        <f>131948+27646</f>
        <v>159594</v>
      </c>
      <c r="D2" s="24">
        <f>+C2+B2</f>
        <v>193644</v>
      </c>
      <c r="E2" s="2">
        <v>16039</v>
      </c>
      <c r="F2" s="2">
        <v>105752</v>
      </c>
      <c r="G2" s="24">
        <f>+F2+E2</f>
        <v>121791</v>
      </c>
      <c r="H2" s="2">
        <f>+G2-D2</f>
        <v>-71853</v>
      </c>
    </row>
    <row r="3" spans="1:8" x14ac:dyDescent="0.55000000000000004">
      <c r="A3" t="s">
        <v>44</v>
      </c>
      <c r="B3" s="2">
        <v>23630</v>
      </c>
      <c r="C3" s="2">
        <v>112233</v>
      </c>
      <c r="D3" s="24">
        <f>+C3+B3</f>
        <v>135863</v>
      </c>
      <c r="E3" s="2">
        <v>0</v>
      </c>
      <c r="F3" s="2">
        <v>14328</v>
      </c>
      <c r="G3" s="24">
        <f>+F3+E3</f>
        <v>14328</v>
      </c>
      <c r="H3" s="2">
        <f>+G3-D3</f>
        <v>-121535</v>
      </c>
    </row>
    <row r="4" spans="1:8" x14ac:dyDescent="0.55000000000000004">
      <c r="A4" t="s">
        <v>6</v>
      </c>
      <c r="B4" s="2">
        <v>14224</v>
      </c>
      <c r="C4" s="2">
        <v>116110</v>
      </c>
      <c r="D4" s="24">
        <f>+C4+B4</f>
        <v>130334</v>
      </c>
      <c r="E4" s="2">
        <v>8072</v>
      </c>
      <c r="F4" s="2">
        <v>50074</v>
      </c>
      <c r="G4" s="24">
        <f>+F4+E4</f>
        <v>58146</v>
      </c>
      <c r="H4" s="2">
        <f>+G4-D4</f>
        <v>-72188</v>
      </c>
    </row>
    <row r="5" spans="1:8" x14ac:dyDescent="0.55000000000000004">
      <c r="A5" t="s">
        <v>8</v>
      </c>
      <c r="B5" s="2">
        <v>40380</v>
      </c>
      <c r="C5" s="2">
        <v>49514</v>
      </c>
      <c r="D5" s="24">
        <f>+C5+B5</f>
        <v>89894</v>
      </c>
      <c r="E5" s="2">
        <v>0</v>
      </c>
      <c r="F5" s="2">
        <v>50279</v>
      </c>
      <c r="G5" s="24">
        <f>+F5+E5</f>
        <v>50279</v>
      </c>
      <c r="H5" s="2">
        <f>+G5-D5</f>
        <v>-39615</v>
      </c>
    </row>
    <row r="6" spans="1:8" x14ac:dyDescent="0.55000000000000004">
      <c r="A6" s="5" t="s">
        <v>45</v>
      </c>
      <c r="B6" s="9">
        <v>16186</v>
      </c>
      <c r="C6" s="9">
        <v>47894</v>
      </c>
      <c r="D6" s="25">
        <f>+C6+B6</f>
        <v>64080</v>
      </c>
      <c r="E6" s="9">
        <v>0</v>
      </c>
      <c r="F6" s="9">
        <v>0</v>
      </c>
      <c r="G6" s="25">
        <f>+F6+E6</f>
        <v>0</v>
      </c>
      <c r="H6" s="9">
        <f>+G6-D6</f>
        <v>-64080</v>
      </c>
    </row>
    <row r="7" spans="1:8" x14ac:dyDescent="0.55000000000000004">
      <c r="A7" s="3" t="s">
        <v>46</v>
      </c>
      <c r="B7" s="4">
        <f t="shared" ref="B7:H7" si="0">SUM(B2:B6)</f>
        <v>128470</v>
      </c>
      <c r="C7" s="4">
        <f t="shared" si="0"/>
        <v>485345</v>
      </c>
      <c r="D7" s="26">
        <f t="shared" si="0"/>
        <v>613815</v>
      </c>
      <c r="E7" s="4">
        <f t="shared" si="0"/>
        <v>24111</v>
      </c>
      <c r="F7" s="4">
        <f t="shared" si="0"/>
        <v>220433</v>
      </c>
      <c r="G7" s="26">
        <f t="shared" si="0"/>
        <v>244544</v>
      </c>
      <c r="H7" s="4">
        <f t="shared" si="0"/>
        <v>-369271</v>
      </c>
    </row>
    <row r="8" spans="1:8" x14ac:dyDescent="0.55000000000000004">
      <c r="B8" s="2"/>
      <c r="C8" s="2"/>
      <c r="D8" s="24"/>
      <c r="E8" s="2"/>
      <c r="F8" s="2"/>
      <c r="G8" s="24"/>
      <c r="H8" s="2"/>
    </row>
    <row r="9" spans="1:8" x14ac:dyDescent="0.55000000000000004">
      <c r="A9" s="22">
        <v>44561</v>
      </c>
      <c r="B9" s="23" t="s">
        <v>11</v>
      </c>
      <c r="C9" s="23" t="s">
        <v>39</v>
      </c>
      <c r="D9" s="23" t="s">
        <v>40</v>
      </c>
      <c r="E9" s="23" t="s">
        <v>41</v>
      </c>
      <c r="F9" s="23" t="s">
        <v>42</v>
      </c>
      <c r="G9" s="23" t="s">
        <v>40</v>
      </c>
      <c r="H9" s="23" t="s">
        <v>43</v>
      </c>
    </row>
    <row r="10" spans="1:8" x14ac:dyDescent="0.55000000000000004">
      <c r="A10" t="s">
        <v>2</v>
      </c>
      <c r="B10" s="2">
        <v>37119</v>
      </c>
      <c r="C10" s="2">
        <f>26794+138683</f>
        <v>165477</v>
      </c>
      <c r="D10" s="24">
        <f>+C10+B10</f>
        <v>202596</v>
      </c>
      <c r="E10" s="2">
        <v>16169</v>
      </c>
      <c r="F10" s="2">
        <v>106629</v>
      </c>
      <c r="G10" s="24">
        <f>+F10+E10</f>
        <v>122798</v>
      </c>
      <c r="H10" s="2">
        <f>+G10-D10</f>
        <v>-79798</v>
      </c>
    </row>
    <row r="11" spans="1:8" x14ac:dyDescent="0.55000000000000004">
      <c r="A11" t="s">
        <v>44</v>
      </c>
      <c r="B11" s="2">
        <v>20945</v>
      </c>
      <c r="C11" s="2">
        <v>118704</v>
      </c>
      <c r="D11" s="24">
        <f>+C11+B11</f>
        <v>139649</v>
      </c>
      <c r="E11" s="2">
        <v>0</v>
      </c>
      <c r="F11" s="2">
        <v>14817</v>
      </c>
      <c r="G11" s="24">
        <f>+F11+E11</f>
        <v>14817</v>
      </c>
      <c r="H11" s="2">
        <f>+G11-D11</f>
        <v>-124832</v>
      </c>
    </row>
    <row r="12" spans="1:8" x14ac:dyDescent="0.55000000000000004">
      <c r="A12" t="s">
        <v>6</v>
      </c>
      <c r="B12" s="2">
        <v>20604</v>
      </c>
      <c r="C12" s="2">
        <v>104765</v>
      </c>
      <c r="D12" s="24">
        <f>+C12+B12</f>
        <v>125369</v>
      </c>
      <c r="E12" s="2">
        <v>4998</v>
      </c>
      <c r="F12" s="2">
        <v>48260</v>
      </c>
      <c r="G12" s="24">
        <f>+F12+E12</f>
        <v>53258</v>
      </c>
      <c r="H12" s="2">
        <f>+G12-D12</f>
        <v>-72111</v>
      </c>
    </row>
    <row r="13" spans="1:8" x14ac:dyDescent="0.55000000000000004">
      <c r="A13" t="s">
        <v>8</v>
      </c>
      <c r="B13" s="2">
        <v>36220</v>
      </c>
      <c r="C13" s="2">
        <v>59829</v>
      </c>
      <c r="D13" s="24">
        <f>+C13+B13</f>
        <v>96049</v>
      </c>
      <c r="E13" s="2">
        <v>0</v>
      </c>
      <c r="F13" s="2">
        <v>48744</v>
      </c>
      <c r="G13" s="24">
        <f>+F13+E13</f>
        <v>48744</v>
      </c>
      <c r="H13" s="2">
        <f>+G13-D13</f>
        <v>-47305</v>
      </c>
    </row>
    <row r="14" spans="1:8" x14ac:dyDescent="0.55000000000000004">
      <c r="A14" s="5" t="s">
        <v>45</v>
      </c>
      <c r="B14" s="9">
        <v>16601</v>
      </c>
      <c r="C14" s="9">
        <v>31397</v>
      </c>
      <c r="D14" s="25">
        <f>+C14+B14</f>
        <v>47998</v>
      </c>
      <c r="E14" s="9">
        <v>0</v>
      </c>
      <c r="F14" s="9">
        <v>0</v>
      </c>
      <c r="G14" s="25">
        <f>+F14+E14</f>
        <v>0</v>
      </c>
      <c r="H14" s="9">
        <f>+G14-D14</f>
        <v>-47998</v>
      </c>
    </row>
    <row r="15" spans="1:8" x14ac:dyDescent="0.55000000000000004">
      <c r="A15" s="3" t="s">
        <v>46</v>
      </c>
      <c r="B15" s="4">
        <f t="shared" ref="B15:H15" si="1">SUM(B10:B14)</f>
        <v>131489</v>
      </c>
      <c r="C15" s="4">
        <f t="shared" si="1"/>
        <v>480172</v>
      </c>
      <c r="D15" s="26">
        <f t="shared" si="1"/>
        <v>611661</v>
      </c>
      <c r="E15" s="4">
        <f t="shared" si="1"/>
        <v>21167</v>
      </c>
      <c r="F15" s="4">
        <f t="shared" si="1"/>
        <v>218450</v>
      </c>
      <c r="G15" s="26">
        <f t="shared" si="1"/>
        <v>239617</v>
      </c>
      <c r="H15" s="4">
        <f t="shared" si="1"/>
        <v>-372044</v>
      </c>
    </row>
    <row r="16" spans="1:8" x14ac:dyDescent="0.55000000000000004">
      <c r="D16" s="24"/>
      <c r="E16" s="2"/>
      <c r="F16" s="2"/>
      <c r="G16" s="24"/>
    </row>
    <row r="17" spans="1:8" x14ac:dyDescent="0.55000000000000004">
      <c r="A17" s="22">
        <v>44742</v>
      </c>
      <c r="B17" s="23" t="s">
        <v>11</v>
      </c>
      <c r="C17" s="23" t="s">
        <v>39</v>
      </c>
      <c r="D17" s="23" t="s">
        <v>40</v>
      </c>
      <c r="E17" s="23" t="s">
        <v>41</v>
      </c>
      <c r="F17" s="23" t="s">
        <v>42</v>
      </c>
      <c r="G17" s="23" t="s">
        <v>40</v>
      </c>
      <c r="H17" s="23" t="s">
        <v>43</v>
      </c>
    </row>
    <row r="18" spans="1:8" x14ac:dyDescent="0.55000000000000004">
      <c r="A18" t="s">
        <v>2</v>
      </c>
      <c r="B18" s="2">
        <v>27502</v>
      </c>
      <c r="C18" s="2">
        <f>20729+131077</f>
        <v>151806</v>
      </c>
      <c r="D18" s="24">
        <f>+C18+B18</f>
        <v>179308</v>
      </c>
      <c r="E18" s="2">
        <v>24991</v>
      </c>
      <c r="F18" s="2">
        <v>94700</v>
      </c>
      <c r="G18" s="24">
        <f>+F18+E18</f>
        <v>119691</v>
      </c>
      <c r="H18" s="2">
        <f>+G18-D18</f>
        <v>-59617</v>
      </c>
    </row>
    <row r="19" spans="1:8" x14ac:dyDescent="0.55000000000000004">
      <c r="A19" t="s">
        <v>44</v>
      </c>
      <c r="B19" s="2">
        <v>17936</v>
      </c>
      <c r="C19" s="2">
        <v>107061</v>
      </c>
      <c r="D19" s="24">
        <f>+C19+B19</f>
        <v>124997</v>
      </c>
      <c r="E19" s="2">
        <v>0</v>
      </c>
      <c r="F19" s="2">
        <v>14817</v>
      </c>
      <c r="G19" s="24">
        <f>+F19+E19</f>
        <v>14817</v>
      </c>
      <c r="H19" s="2">
        <f>+G19-D19</f>
        <v>-110180</v>
      </c>
    </row>
    <row r="20" spans="1:8" x14ac:dyDescent="0.55000000000000004">
      <c r="A20" t="s">
        <v>6</v>
      </c>
      <c r="B20" s="2">
        <v>13931</v>
      </c>
      <c r="C20" s="2">
        <v>90826</v>
      </c>
      <c r="D20" s="24">
        <f>+C20+B20</f>
        <v>104757</v>
      </c>
      <c r="E20" s="2">
        <v>2749</v>
      </c>
      <c r="F20" s="2">
        <v>47032</v>
      </c>
      <c r="G20" s="24">
        <f>+F20+E20</f>
        <v>49781</v>
      </c>
      <c r="H20" s="2">
        <f>+G20-D20</f>
        <v>-54976</v>
      </c>
    </row>
    <row r="21" spans="1:8" x14ac:dyDescent="0.55000000000000004">
      <c r="A21" t="s">
        <v>8</v>
      </c>
      <c r="B21" s="2">
        <v>37478</v>
      </c>
      <c r="C21" s="2">
        <v>23232</v>
      </c>
      <c r="D21" s="24">
        <f>+C21+B21</f>
        <v>60710</v>
      </c>
      <c r="E21" s="2">
        <v>0</v>
      </c>
      <c r="F21" s="2">
        <v>58053</v>
      </c>
      <c r="G21" s="24">
        <f>+F21+E21</f>
        <v>58053</v>
      </c>
      <c r="H21" s="2">
        <f>+G21-D21</f>
        <v>-2657</v>
      </c>
    </row>
    <row r="22" spans="1:8" x14ac:dyDescent="0.55000000000000004">
      <c r="A22" s="5" t="s">
        <v>45</v>
      </c>
      <c r="B22" s="9">
        <v>12681</v>
      </c>
      <c r="C22" s="9">
        <v>27808</v>
      </c>
      <c r="D22" s="25">
        <f>+C22+B22</f>
        <v>40489</v>
      </c>
      <c r="E22" s="9">
        <v>0</v>
      </c>
      <c r="F22" s="9">
        <v>0</v>
      </c>
      <c r="G22" s="25">
        <f>+F22+E22</f>
        <v>0</v>
      </c>
      <c r="H22" s="9">
        <f>+G22-D22</f>
        <v>-40489</v>
      </c>
    </row>
    <row r="23" spans="1:8" x14ac:dyDescent="0.55000000000000004">
      <c r="A23" s="3" t="s">
        <v>46</v>
      </c>
      <c r="B23" s="4">
        <f t="shared" ref="B23:H23" si="2">SUM(B18:B22)</f>
        <v>109528</v>
      </c>
      <c r="C23" s="4">
        <f t="shared" si="2"/>
        <v>400733</v>
      </c>
      <c r="D23" s="26">
        <f t="shared" si="2"/>
        <v>510261</v>
      </c>
      <c r="E23" s="4">
        <f t="shared" si="2"/>
        <v>27740</v>
      </c>
      <c r="F23" s="4">
        <f t="shared" si="2"/>
        <v>214602</v>
      </c>
      <c r="G23" s="26">
        <f t="shared" si="2"/>
        <v>242342</v>
      </c>
      <c r="H23" s="4">
        <f t="shared" si="2"/>
        <v>-267919</v>
      </c>
    </row>
    <row r="25" spans="1:8" x14ac:dyDescent="0.55000000000000004">
      <c r="A25" s="22">
        <v>44834</v>
      </c>
      <c r="B25" s="23" t="s">
        <v>11</v>
      </c>
      <c r="C25" s="23" t="s">
        <v>39</v>
      </c>
      <c r="D25" s="23" t="s">
        <v>40</v>
      </c>
      <c r="E25" s="23" t="s">
        <v>41</v>
      </c>
      <c r="F25" s="23" t="s">
        <v>42</v>
      </c>
      <c r="G25" s="23" t="s">
        <v>40</v>
      </c>
      <c r="H25" s="23" t="s">
        <v>43</v>
      </c>
    </row>
    <row r="26" spans="1:8" x14ac:dyDescent="0.55000000000000004">
      <c r="A26" t="s">
        <v>2</v>
      </c>
      <c r="B26" s="2">
        <v>23646</v>
      </c>
      <c r="C26" s="2">
        <f>24658+120805</f>
        <v>145463</v>
      </c>
      <c r="D26" s="24">
        <f>+C26+B26</f>
        <v>169109</v>
      </c>
      <c r="E26" s="2">
        <f>11128+9982</f>
        <v>21110</v>
      </c>
      <c r="F26" s="2">
        <v>98959</v>
      </c>
      <c r="G26" s="24">
        <f>+F26+E26</f>
        <v>120069</v>
      </c>
      <c r="H26" s="2">
        <f>+G26-D26</f>
        <v>-49040</v>
      </c>
    </row>
    <row r="27" spans="1:8" x14ac:dyDescent="0.55000000000000004">
      <c r="A27" t="s">
        <v>44</v>
      </c>
      <c r="B27" s="2">
        <v>21984</v>
      </c>
      <c r="C27" s="2">
        <v>94275</v>
      </c>
      <c r="D27" s="24">
        <f>+C27+B27</f>
        <v>116259</v>
      </c>
      <c r="E27" s="2">
        <v>0</v>
      </c>
      <c r="F27" s="2">
        <v>14653</v>
      </c>
      <c r="G27" s="24">
        <f>+F27+E27</f>
        <v>14653</v>
      </c>
      <c r="H27" s="2">
        <f>+G27-D27</f>
        <v>-101606</v>
      </c>
    </row>
    <row r="28" spans="1:8" x14ac:dyDescent="0.55000000000000004">
      <c r="A28" t="s">
        <v>6</v>
      </c>
      <c r="B28" s="2">
        <v>22884</v>
      </c>
      <c r="C28" s="2">
        <v>84378</v>
      </c>
      <c r="D28" s="24">
        <f>+C28+B28</f>
        <v>107262</v>
      </c>
      <c r="E28" s="2">
        <v>3248</v>
      </c>
      <c r="F28" s="2">
        <v>45374</v>
      </c>
      <c r="G28" s="24">
        <f>+F28+E28</f>
        <v>48622</v>
      </c>
      <c r="H28" s="2">
        <f>+G28-D28</f>
        <v>-58640</v>
      </c>
    </row>
    <row r="29" spans="1:8" x14ac:dyDescent="0.55000000000000004">
      <c r="A29" t="s">
        <v>8</v>
      </c>
      <c r="B29" s="2">
        <v>34947</v>
      </c>
      <c r="C29" s="2">
        <v>23715</v>
      </c>
      <c r="D29" s="24">
        <f>+C29+B29</f>
        <v>58662</v>
      </c>
      <c r="E29" s="2">
        <v>0</v>
      </c>
      <c r="F29" s="2">
        <v>58919</v>
      </c>
      <c r="G29" s="24">
        <f>+F29+E29</f>
        <v>58919</v>
      </c>
      <c r="H29" s="2">
        <f>+G29-D29</f>
        <v>257</v>
      </c>
    </row>
    <row r="30" spans="1:8" x14ac:dyDescent="0.55000000000000004">
      <c r="A30" s="5" t="s">
        <v>45</v>
      </c>
      <c r="B30" s="9">
        <v>14308</v>
      </c>
      <c r="C30" s="9">
        <v>27468</v>
      </c>
      <c r="D30" s="25">
        <f>+C30+B30</f>
        <v>41776</v>
      </c>
      <c r="E30" s="9">
        <v>0</v>
      </c>
      <c r="F30" s="9">
        <v>9922</v>
      </c>
      <c r="G30" s="25">
        <f>+F30+E30</f>
        <v>9922</v>
      </c>
      <c r="H30" s="9">
        <f>+G30-D30</f>
        <v>-31854</v>
      </c>
    </row>
    <row r="31" spans="1:8" x14ac:dyDescent="0.55000000000000004">
      <c r="A31" s="3" t="s">
        <v>46</v>
      </c>
      <c r="B31" s="4">
        <f t="shared" ref="B31:H31" si="3">SUM(B26:B30)</f>
        <v>117769</v>
      </c>
      <c r="C31" s="4">
        <f t="shared" si="3"/>
        <v>375299</v>
      </c>
      <c r="D31" s="26">
        <f t="shared" si="3"/>
        <v>493068</v>
      </c>
      <c r="E31" s="4">
        <f t="shared" si="3"/>
        <v>24358</v>
      </c>
      <c r="F31" s="4">
        <f t="shared" si="3"/>
        <v>227827</v>
      </c>
      <c r="G31" s="26">
        <f t="shared" si="3"/>
        <v>252185</v>
      </c>
      <c r="H31" s="4">
        <f t="shared" si="3"/>
        <v>-240883</v>
      </c>
    </row>
    <row r="33" spans="1:8" x14ac:dyDescent="0.55000000000000004">
      <c r="A33" s="22">
        <v>44926</v>
      </c>
      <c r="B33" s="23" t="s">
        <v>11</v>
      </c>
      <c r="C33" s="23" t="s">
        <v>39</v>
      </c>
      <c r="D33" s="23" t="s">
        <v>40</v>
      </c>
      <c r="E33" s="23" t="s">
        <v>41</v>
      </c>
      <c r="F33" s="23" t="s">
        <v>42</v>
      </c>
      <c r="G33" s="23" t="s">
        <v>40</v>
      </c>
      <c r="H33" s="23" t="s">
        <v>43</v>
      </c>
    </row>
    <row r="34" spans="1:8" x14ac:dyDescent="0.55000000000000004">
      <c r="A34" t="s">
        <v>2</v>
      </c>
      <c r="B34" s="2">
        <v>20535</v>
      </c>
      <c r="C34" s="2">
        <f>30820+114095</f>
        <v>144915</v>
      </c>
      <c r="D34" s="24">
        <f>+C34+B34</f>
        <v>165450</v>
      </c>
      <c r="E34" s="2">
        <f>1743+9740</f>
        <v>11483</v>
      </c>
      <c r="F34" s="2">
        <v>99627</v>
      </c>
      <c r="G34" s="24">
        <f>+F34+E34</f>
        <v>111110</v>
      </c>
      <c r="H34" s="2">
        <f>+G34-D34</f>
        <v>-54340</v>
      </c>
    </row>
    <row r="35" spans="1:8" x14ac:dyDescent="0.55000000000000004">
      <c r="A35" t="s">
        <v>44</v>
      </c>
      <c r="B35" s="2">
        <v>21879</v>
      </c>
      <c r="C35" s="2">
        <v>91883</v>
      </c>
      <c r="D35" s="24">
        <f>+C35+B35</f>
        <v>113762</v>
      </c>
      <c r="E35" s="2">
        <v>0</v>
      </c>
      <c r="F35" s="2">
        <v>14701</v>
      </c>
      <c r="G35" s="24">
        <f>+F35+E35</f>
        <v>14701</v>
      </c>
      <c r="H35" s="2">
        <f>+G35-D35</f>
        <v>-99061</v>
      </c>
    </row>
    <row r="36" spans="1:8" x14ac:dyDescent="0.55000000000000004">
      <c r="A36" t="s">
        <v>6</v>
      </c>
      <c r="B36" s="2">
        <v>15646</v>
      </c>
      <c r="C36" s="2">
        <v>83862</v>
      </c>
      <c r="D36" s="24">
        <f>+C36+B36</f>
        <v>99508</v>
      </c>
      <c r="E36" s="2">
        <v>3997</v>
      </c>
      <c r="F36" s="2">
        <v>44119</v>
      </c>
      <c r="G36" s="24">
        <f>+F36+E36</f>
        <v>48116</v>
      </c>
      <c r="H36" s="2">
        <f>+G36-D36</f>
        <v>-51392</v>
      </c>
    </row>
    <row r="37" spans="1:8" x14ac:dyDescent="0.55000000000000004">
      <c r="A37" t="s">
        <v>8</v>
      </c>
      <c r="B37" s="2">
        <v>53888</v>
      </c>
      <c r="C37" s="2">
        <v>16138</v>
      </c>
      <c r="D37" s="24">
        <f>+C37+B37</f>
        <v>70026</v>
      </c>
      <c r="E37" s="2">
        <v>0</v>
      </c>
      <c r="F37" s="2">
        <v>67150</v>
      </c>
      <c r="G37" s="24">
        <f>+F37+E37</f>
        <v>67150</v>
      </c>
      <c r="H37" s="2">
        <f>+G37-D37</f>
        <v>-2876</v>
      </c>
    </row>
    <row r="38" spans="1:8" x14ac:dyDescent="0.55000000000000004">
      <c r="A38" s="5" t="s">
        <v>45</v>
      </c>
      <c r="B38" s="9">
        <v>14681</v>
      </c>
      <c r="C38" s="9">
        <v>26057</v>
      </c>
      <c r="D38" s="25">
        <f>+C38+B38</f>
        <v>40738</v>
      </c>
      <c r="E38" s="9">
        <v>0</v>
      </c>
      <c r="F38" s="9">
        <v>9923</v>
      </c>
      <c r="G38" s="25">
        <f>+F38+E38</f>
        <v>9923</v>
      </c>
      <c r="H38" s="9">
        <f>+G38-D38</f>
        <v>-30815</v>
      </c>
    </row>
    <row r="39" spans="1:8" x14ac:dyDescent="0.55000000000000004">
      <c r="A39" s="3" t="s">
        <v>46</v>
      </c>
      <c r="B39" s="4">
        <f t="shared" ref="B39:H39" si="4">SUM(B34:B38)</f>
        <v>126629</v>
      </c>
      <c r="C39" s="4">
        <f t="shared" si="4"/>
        <v>362855</v>
      </c>
      <c r="D39" s="26">
        <f t="shared" si="4"/>
        <v>489484</v>
      </c>
      <c r="E39" s="4">
        <f t="shared" si="4"/>
        <v>15480</v>
      </c>
      <c r="F39" s="4">
        <f t="shared" si="4"/>
        <v>235520</v>
      </c>
      <c r="G39" s="26">
        <f t="shared" si="4"/>
        <v>251000</v>
      </c>
      <c r="H39" s="4">
        <f t="shared" si="4"/>
        <v>-238484</v>
      </c>
    </row>
    <row r="40" spans="1:8" x14ac:dyDescent="0.55000000000000004">
      <c r="D40" s="18" t="s">
        <v>25</v>
      </c>
    </row>
    <row r="41" spans="1:8" x14ac:dyDescent="0.55000000000000004">
      <c r="A41" s="22">
        <v>45016</v>
      </c>
      <c r="B41" s="23" t="s">
        <v>11</v>
      </c>
      <c r="C41" s="23" t="s">
        <v>39</v>
      </c>
      <c r="D41" s="23" t="s">
        <v>40</v>
      </c>
      <c r="E41" s="23" t="s">
        <v>41</v>
      </c>
      <c r="F41" s="23" t="s">
        <v>42</v>
      </c>
      <c r="G41" s="23" t="s">
        <v>40</v>
      </c>
      <c r="H41" s="23" t="s">
        <v>43</v>
      </c>
    </row>
    <row r="42" spans="1:8" x14ac:dyDescent="0.55000000000000004">
      <c r="A42" t="s">
        <v>2</v>
      </c>
      <c r="B42" s="2">
        <v>24687</v>
      </c>
      <c r="C42" s="2">
        <f>31185+110461</f>
        <v>141646</v>
      </c>
      <c r="D42" s="24">
        <f>+C42+B42</f>
        <v>166333</v>
      </c>
      <c r="E42" s="2">
        <f>1996+10578</f>
        <v>12574</v>
      </c>
      <c r="F42" s="2">
        <v>97041</v>
      </c>
      <c r="G42" s="24">
        <f>+F42+E42</f>
        <v>109615</v>
      </c>
      <c r="H42" s="2">
        <f>+G42-D42</f>
        <v>-56718</v>
      </c>
    </row>
    <row r="43" spans="1:8" x14ac:dyDescent="0.55000000000000004">
      <c r="A43" t="s">
        <v>44</v>
      </c>
      <c r="B43" s="2">
        <v>25924</v>
      </c>
      <c r="C43" s="2">
        <v>89178</v>
      </c>
      <c r="D43" s="24">
        <f>+C43+B43</f>
        <v>115102</v>
      </c>
      <c r="E43" s="2">
        <v>0</v>
      </c>
      <c r="F43" s="2">
        <v>13697</v>
      </c>
      <c r="G43" s="24">
        <f>+F43+E43</f>
        <v>13697</v>
      </c>
      <c r="H43" s="2">
        <f>+G43-D43</f>
        <v>-101405</v>
      </c>
    </row>
    <row r="44" spans="1:8" x14ac:dyDescent="0.55000000000000004">
      <c r="A44" t="s">
        <v>6</v>
      </c>
      <c r="B44" s="2">
        <v>26562</v>
      </c>
      <c r="C44" s="2">
        <v>77865</v>
      </c>
      <c r="D44" s="24">
        <f>+C44+B44</f>
        <v>104427</v>
      </c>
      <c r="E44" s="2">
        <v>6245</v>
      </c>
      <c r="F44" s="2">
        <v>41965</v>
      </c>
      <c r="G44" s="24">
        <f>+F44+E44</f>
        <v>48210</v>
      </c>
      <c r="H44" s="2">
        <f>+G44-D44</f>
        <v>-56217</v>
      </c>
    </row>
    <row r="45" spans="1:8" x14ac:dyDescent="0.55000000000000004">
      <c r="A45" t="s">
        <v>8</v>
      </c>
      <c r="B45" s="2">
        <v>49343</v>
      </c>
      <c r="C45" s="2">
        <v>15062</v>
      </c>
      <c r="D45" s="24">
        <f>+C45+B45</f>
        <v>64405</v>
      </c>
      <c r="E45" s="2">
        <v>0</v>
      </c>
      <c r="F45" s="2">
        <v>67084</v>
      </c>
      <c r="G45" s="24">
        <f>+F45+E45</f>
        <v>67084</v>
      </c>
      <c r="H45" s="2">
        <f>+G45-D45</f>
        <v>2679</v>
      </c>
    </row>
    <row r="46" spans="1:8" x14ac:dyDescent="0.55000000000000004">
      <c r="A46" s="5" t="s">
        <v>45</v>
      </c>
      <c r="B46" s="9">
        <v>11551</v>
      </c>
      <c r="C46" s="9">
        <v>25888</v>
      </c>
      <c r="D46" s="25">
        <f>+C46+B46</f>
        <v>37439</v>
      </c>
      <c r="E46" s="9">
        <v>0</v>
      </c>
      <c r="F46" s="9">
        <v>9925</v>
      </c>
      <c r="G46" s="25">
        <f>+F46+E46</f>
        <v>9925</v>
      </c>
      <c r="H46" s="9">
        <f>+G46-D46</f>
        <v>-27514</v>
      </c>
    </row>
    <row r="47" spans="1:8" x14ac:dyDescent="0.55000000000000004">
      <c r="A47" s="3" t="s">
        <v>46</v>
      </c>
      <c r="B47" s="4">
        <f t="shared" ref="B47:H47" si="5">SUM(B42:B46)</f>
        <v>138067</v>
      </c>
      <c r="C47" s="4">
        <f t="shared" si="5"/>
        <v>349639</v>
      </c>
      <c r="D47" s="26">
        <f t="shared" si="5"/>
        <v>487706</v>
      </c>
      <c r="E47" s="4">
        <f t="shared" si="5"/>
        <v>18819</v>
      </c>
      <c r="F47" s="4">
        <f t="shared" si="5"/>
        <v>229712</v>
      </c>
      <c r="G47" s="26">
        <f t="shared" si="5"/>
        <v>248531</v>
      </c>
      <c r="H47" s="4">
        <f t="shared" si="5"/>
        <v>-239175</v>
      </c>
    </row>
    <row r="49" spans="1:8" x14ac:dyDescent="0.55000000000000004">
      <c r="A49" s="22">
        <v>45107</v>
      </c>
      <c r="B49" s="23" t="s">
        <v>11</v>
      </c>
      <c r="C49" s="23" t="s">
        <v>39</v>
      </c>
      <c r="D49" s="23" t="s">
        <v>40</v>
      </c>
      <c r="E49" s="23" t="s">
        <v>41</v>
      </c>
      <c r="F49" s="23" t="s">
        <v>42</v>
      </c>
      <c r="G49" s="23" t="s">
        <v>40</v>
      </c>
      <c r="H49" s="23" t="s">
        <v>43</v>
      </c>
    </row>
    <row r="50" spans="1:8" x14ac:dyDescent="0.55000000000000004">
      <c r="A50" t="s">
        <v>2</v>
      </c>
      <c r="B50" s="2">
        <v>28408</v>
      </c>
      <c r="C50" s="2">
        <f>104061+34074</f>
        <v>138135</v>
      </c>
      <c r="D50" s="24">
        <f>+C50+B50</f>
        <v>166543</v>
      </c>
      <c r="E50" s="2">
        <f>3993+7216</f>
        <v>11209</v>
      </c>
      <c r="F50" s="2">
        <v>98071</v>
      </c>
      <c r="G50" s="24">
        <f>+F50+E50</f>
        <v>109280</v>
      </c>
      <c r="H50" s="2">
        <f>+G50-D50</f>
        <v>-57263</v>
      </c>
    </row>
    <row r="51" spans="1:8" x14ac:dyDescent="0.55000000000000004">
      <c r="A51" t="s">
        <v>44</v>
      </c>
      <c r="B51" s="2">
        <v>25929</v>
      </c>
      <c r="C51" s="2">
        <v>91883</v>
      </c>
      <c r="D51" s="24">
        <f>+C51+B51</f>
        <v>117812</v>
      </c>
      <c r="E51" s="2">
        <v>0</v>
      </c>
      <c r="F51" s="2">
        <v>14701</v>
      </c>
      <c r="G51" s="24">
        <f>+F51+E51</f>
        <v>14701</v>
      </c>
      <c r="H51" s="2">
        <f>+G51-D51</f>
        <v>-103111</v>
      </c>
    </row>
    <row r="52" spans="1:8" x14ac:dyDescent="0.55000000000000004">
      <c r="A52" t="s">
        <v>6</v>
      </c>
      <c r="B52" s="2">
        <v>34704</v>
      </c>
      <c r="C52" s="2">
        <v>76558</v>
      </c>
      <c r="D52" s="24">
        <f>+C52+B52</f>
        <v>111262</v>
      </c>
      <c r="E52" s="2">
        <v>5247</v>
      </c>
      <c r="F52" s="2">
        <v>41990</v>
      </c>
      <c r="G52" s="24">
        <f>+F52+E52</f>
        <v>47237</v>
      </c>
      <c r="H52" s="2">
        <f>+G52-D52</f>
        <v>-64025</v>
      </c>
    </row>
    <row r="53" spans="1:8" x14ac:dyDescent="0.55000000000000004">
      <c r="A53" t="s">
        <v>8</v>
      </c>
      <c r="B53" s="2">
        <v>49529</v>
      </c>
      <c r="C53" s="2">
        <v>14441</v>
      </c>
      <c r="D53" s="24">
        <f>+C53+B53</f>
        <v>63970</v>
      </c>
      <c r="E53" s="2">
        <v>0</v>
      </c>
      <c r="F53" s="2">
        <v>67150</v>
      </c>
      <c r="G53" s="24">
        <f>+F53+E53</f>
        <v>67150</v>
      </c>
      <c r="H53" s="2">
        <f>+G53-D53</f>
        <v>3180</v>
      </c>
    </row>
    <row r="54" spans="1:8" x14ac:dyDescent="0.55000000000000004">
      <c r="A54" s="5" t="s">
        <v>45</v>
      </c>
      <c r="B54" s="9">
        <v>28785</v>
      </c>
      <c r="C54" s="9">
        <v>24661</v>
      </c>
      <c r="D54" s="25">
        <f>+C54+B54</f>
        <v>53446</v>
      </c>
      <c r="E54" s="9">
        <v>0</v>
      </c>
      <c r="F54" s="9">
        <v>18382</v>
      </c>
      <c r="G54" s="25">
        <f>+F54+E54</f>
        <v>18382</v>
      </c>
      <c r="H54" s="9">
        <f>+G54-D54</f>
        <v>-35064</v>
      </c>
    </row>
    <row r="55" spans="1:8" x14ac:dyDescent="0.55000000000000004">
      <c r="A55" s="3" t="s">
        <v>46</v>
      </c>
      <c r="B55" s="4">
        <f t="shared" ref="B55:H55" si="6">SUM(B50:B54)</f>
        <v>167355</v>
      </c>
      <c r="C55" s="4">
        <f t="shared" si="6"/>
        <v>345678</v>
      </c>
      <c r="D55" s="26">
        <f t="shared" si="6"/>
        <v>513033</v>
      </c>
      <c r="E55" s="4">
        <f t="shared" si="6"/>
        <v>16456</v>
      </c>
      <c r="F55" s="4">
        <f t="shared" si="6"/>
        <v>240294</v>
      </c>
      <c r="G55" s="26">
        <f t="shared" si="6"/>
        <v>256750</v>
      </c>
      <c r="H55" s="4">
        <f t="shared" si="6"/>
        <v>-256283</v>
      </c>
    </row>
    <row r="57" spans="1:8" x14ac:dyDescent="0.55000000000000004">
      <c r="A57" s="22">
        <v>45199</v>
      </c>
      <c r="B57" s="23" t="s">
        <v>11</v>
      </c>
      <c r="C57" s="23" t="s">
        <v>39</v>
      </c>
      <c r="D57" s="23" t="s">
        <v>40</v>
      </c>
      <c r="E57" s="23" t="s">
        <v>41</v>
      </c>
      <c r="F57" s="23" t="s">
        <v>42</v>
      </c>
      <c r="G57" s="23" t="s">
        <v>40</v>
      </c>
      <c r="H57" s="23" t="s">
        <v>43</v>
      </c>
    </row>
    <row r="58" spans="1:8" x14ac:dyDescent="0.55000000000000004">
      <c r="A58" t="s">
        <v>2</v>
      </c>
      <c r="B58" s="2">
        <v>29965</v>
      </c>
      <c r="C58" s="2">
        <v>132134</v>
      </c>
      <c r="D58" s="24">
        <f>+C58+B58</f>
        <v>162099</v>
      </c>
      <c r="E58" s="2">
        <v>9822</v>
      </c>
      <c r="F58" s="2">
        <v>95281</v>
      </c>
      <c r="G58" s="24">
        <f>+F58+E58</f>
        <v>105103</v>
      </c>
      <c r="H58" s="2">
        <f>+G58-D58</f>
        <v>-56996</v>
      </c>
    </row>
    <row r="59" spans="1:8" x14ac:dyDescent="0.55000000000000004">
      <c r="A59" t="s">
        <v>44</v>
      </c>
      <c r="B59" s="2">
        <v>30702</v>
      </c>
      <c r="C59" s="2">
        <v>89233</v>
      </c>
      <c r="D59" s="24">
        <f>+C59+B59</f>
        <v>119935</v>
      </c>
      <c r="E59" s="2">
        <v>0</v>
      </c>
      <c r="F59" s="2">
        <v>13781</v>
      </c>
      <c r="G59" s="24">
        <f>+F59+E59</f>
        <v>13781</v>
      </c>
      <c r="H59" s="2">
        <f>+G59-D59</f>
        <v>-106154</v>
      </c>
    </row>
    <row r="60" spans="1:8" x14ac:dyDescent="0.55000000000000004">
      <c r="A60" t="s">
        <v>6</v>
      </c>
      <c r="B60" s="2">
        <v>80452</v>
      </c>
      <c r="C60" s="2">
        <v>63499</v>
      </c>
      <c r="D60" s="24">
        <f>+C60+B60</f>
        <v>143951</v>
      </c>
      <c r="E60" s="2">
        <v>25808</v>
      </c>
      <c r="F60" s="2">
        <v>41946</v>
      </c>
      <c r="G60" s="24">
        <f>+F60+E60</f>
        <v>67754</v>
      </c>
      <c r="H60" s="2">
        <f>+G60-D60</f>
        <v>-76197</v>
      </c>
    </row>
    <row r="61" spans="1:8" x14ac:dyDescent="0.55000000000000004">
      <c r="A61" t="s">
        <v>8</v>
      </c>
      <c r="B61" s="2">
        <v>49605</v>
      </c>
      <c r="C61" s="2">
        <v>14564</v>
      </c>
      <c r="D61" s="24">
        <f>+C61+B61</f>
        <v>64169</v>
      </c>
      <c r="E61" s="2">
        <v>0</v>
      </c>
      <c r="F61" s="2">
        <v>61098</v>
      </c>
      <c r="G61" s="24">
        <f>+F61+E61</f>
        <v>61098</v>
      </c>
      <c r="H61" s="2">
        <f>+G61-D61</f>
        <v>-3071</v>
      </c>
    </row>
    <row r="62" spans="1:8" x14ac:dyDescent="0.55000000000000004">
      <c r="A62" s="5" t="s">
        <v>45</v>
      </c>
      <c r="B62" s="9">
        <v>36890</v>
      </c>
      <c r="C62" s="9">
        <v>24233</v>
      </c>
      <c r="D62" s="25">
        <f>+C62+B62</f>
        <v>61123</v>
      </c>
      <c r="E62" s="9">
        <v>0</v>
      </c>
      <c r="F62" s="9">
        <v>18383</v>
      </c>
      <c r="G62" s="25">
        <f>+F62+E62</f>
        <v>18383</v>
      </c>
      <c r="H62" s="9">
        <f>+G62-D62</f>
        <v>-42740</v>
      </c>
    </row>
    <row r="63" spans="1:8" x14ac:dyDescent="0.55000000000000004">
      <c r="A63" s="3" t="s">
        <v>46</v>
      </c>
      <c r="B63" s="4">
        <f t="shared" ref="B63:H63" si="7">SUM(B58:B62)</f>
        <v>227614</v>
      </c>
      <c r="C63" s="4">
        <f t="shared" si="7"/>
        <v>323663</v>
      </c>
      <c r="D63" s="26">
        <f t="shared" si="7"/>
        <v>551277</v>
      </c>
      <c r="E63" s="4">
        <f t="shared" si="7"/>
        <v>35630</v>
      </c>
      <c r="F63" s="4">
        <f t="shared" si="7"/>
        <v>230489</v>
      </c>
      <c r="G63" s="26">
        <f t="shared" si="7"/>
        <v>266119</v>
      </c>
      <c r="H63" s="4">
        <f t="shared" si="7"/>
        <v>-285158</v>
      </c>
    </row>
    <row r="65" spans="1:8" x14ac:dyDescent="0.55000000000000004">
      <c r="A65" s="22">
        <v>45291</v>
      </c>
      <c r="B65" s="23" t="s">
        <v>11</v>
      </c>
      <c r="C65" s="23" t="s">
        <v>39</v>
      </c>
      <c r="D65" s="23" t="s">
        <v>40</v>
      </c>
      <c r="E65" s="23" t="s">
        <v>41</v>
      </c>
      <c r="F65" s="23" t="s">
        <v>42</v>
      </c>
      <c r="G65" s="23" t="s">
        <v>40</v>
      </c>
      <c r="H65" s="23" t="s">
        <v>43</v>
      </c>
    </row>
    <row r="66" spans="1:8" x14ac:dyDescent="0.55000000000000004">
      <c r="A66" t="s">
        <v>2</v>
      </c>
      <c r="B66" s="2">
        <v>40760</v>
      </c>
      <c r="C66" s="2">
        <f>32340+99475</f>
        <v>131815</v>
      </c>
      <c r="D66" s="24">
        <f>+C66+B66</f>
        <v>172575</v>
      </c>
      <c r="E66" s="2">
        <f>1998+10954</f>
        <v>12952</v>
      </c>
      <c r="F66" s="2">
        <v>95088</v>
      </c>
      <c r="G66" s="24">
        <f>+F66+E66</f>
        <v>108040</v>
      </c>
      <c r="H66" s="2">
        <f>+G66-D66</f>
        <v>-64535</v>
      </c>
    </row>
    <row r="67" spans="1:8" x14ac:dyDescent="0.55000000000000004">
      <c r="A67" t="s">
        <v>44</v>
      </c>
      <c r="B67" s="21">
        <v>24048</v>
      </c>
      <c r="C67" s="21">
        <v>86868</v>
      </c>
      <c r="D67" s="24">
        <f>+C67+B67</f>
        <v>110916</v>
      </c>
      <c r="E67" s="21">
        <v>0</v>
      </c>
      <c r="F67" s="21">
        <v>13253</v>
      </c>
      <c r="G67" s="24">
        <f>+F67+E67</f>
        <v>13253</v>
      </c>
      <c r="H67" s="2">
        <f>+G67-D67</f>
        <v>-97663</v>
      </c>
    </row>
    <row r="68" spans="1:8" x14ac:dyDescent="0.55000000000000004">
      <c r="A68" t="s">
        <v>6</v>
      </c>
      <c r="B68" s="21">
        <v>17305</v>
      </c>
      <c r="C68" s="21">
        <v>63712</v>
      </c>
      <c r="D68" s="24">
        <f>+C68+B68</f>
        <v>81017</v>
      </c>
      <c r="E68" s="21">
        <f>27041+2250</f>
        <v>29291</v>
      </c>
      <c r="F68" s="21">
        <v>44928</v>
      </c>
      <c r="G68" s="24">
        <f>+F68+E68</f>
        <v>74219</v>
      </c>
      <c r="H68" s="2">
        <f>+G68-D68</f>
        <v>-6798</v>
      </c>
    </row>
    <row r="69" spans="1:8" x14ac:dyDescent="0.55000000000000004">
      <c r="A69" t="s">
        <v>8</v>
      </c>
      <c r="B69" s="21">
        <v>73387</v>
      </c>
      <c r="C69" s="21">
        <v>13393</v>
      </c>
      <c r="D69" s="24">
        <f>+C69+B69</f>
        <v>86780</v>
      </c>
      <c r="E69" s="21">
        <v>0</v>
      </c>
      <c r="F69" s="21">
        <v>58314</v>
      </c>
      <c r="G69" s="24">
        <f>+F69+E69</f>
        <v>58314</v>
      </c>
      <c r="H69" s="2">
        <f>+G69-D69</f>
        <v>-28466</v>
      </c>
    </row>
    <row r="70" spans="1:8" x14ac:dyDescent="0.55000000000000004">
      <c r="A70" s="5" t="s">
        <v>45</v>
      </c>
      <c r="B70" s="38">
        <v>41862</v>
      </c>
      <c r="C70" s="38">
        <v>23541</v>
      </c>
      <c r="D70" s="25">
        <f>+C70+B70</f>
        <v>65403</v>
      </c>
      <c r="E70" s="38">
        <v>0</v>
      </c>
      <c r="F70" s="38">
        <v>18385</v>
      </c>
      <c r="G70" s="25">
        <f>+F70+E70</f>
        <v>18385</v>
      </c>
      <c r="H70" s="9">
        <f>+G70-D70</f>
        <v>-47018</v>
      </c>
    </row>
    <row r="71" spans="1:8" x14ac:dyDescent="0.55000000000000004">
      <c r="A71" s="3" t="s">
        <v>46</v>
      </c>
      <c r="B71" s="4">
        <f t="shared" ref="B71:H71" si="8">SUM(B66:B70)</f>
        <v>197362</v>
      </c>
      <c r="C71" s="4">
        <f t="shared" si="8"/>
        <v>319329</v>
      </c>
      <c r="D71" s="26">
        <f t="shared" si="8"/>
        <v>516691</v>
      </c>
      <c r="E71" s="4">
        <f t="shared" si="8"/>
        <v>42243</v>
      </c>
      <c r="F71" s="4">
        <f t="shared" si="8"/>
        <v>229968</v>
      </c>
      <c r="G71" s="26">
        <f t="shared" si="8"/>
        <v>272211</v>
      </c>
      <c r="H71" s="4">
        <f t="shared" si="8"/>
        <v>-244480</v>
      </c>
    </row>
    <row r="73" spans="1:8" x14ac:dyDescent="0.55000000000000004">
      <c r="A73" s="22">
        <v>45382</v>
      </c>
      <c r="B73" s="23" t="s">
        <v>11</v>
      </c>
      <c r="C73" s="23" t="s">
        <v>39</v>
      </c>
      <c r="D73" s="23" t="s">
        <v>40</v>
      </c>
      <c r="E73" s="23" t="s">
        <v>41</v>
      </c>
      <c r="F73" s="23" t="s">
        <v>42</v>
      </c>
      <c r="G73" s="23" t="s">
        <v>40</v>
      </c>
      <c r="H73" s="23" t="s">
        <v>43</v>
      </c>
    </row>
    <row r="74" spans="1:8" x14ac:dyDescent="0.55000000000000004">
      <c r="A74" t="s">
        <v>2</v>
      </c>
      <c r="B74" s="2">
        <v>32695</v>
      </c>
      <c r="C74" s="2">
        <v>129642</v>
      </c>
      <c r="D74" s="24">
        <f>+C74+B74</f>
        <v>162337</v>
      </c>
      <c r="E74" s="2">
        <v>12759</v>
      </c>
      <c r="F74" s="2">
        <v>91831</v>
      </c>
      <c r="G74" s="24">
        <f>+F74+E74</f>
        <v>104590</v>
      </c>
      <c r="H74" s="2">
        <f>+G74-D74</f>
        <v>-57747</v>
      </c>
    </row>
    <row r="75" spans="1:8" x14ac:dyDescent="0.55000000000000004">
      <c r="A75" t="s">
        <v>44</v>
      </c>
      <c r="B75" s="21">
        <v>24493</v>
      </c>
      <c r="C75" s="21">
        <v>83597</v>
      </c>
      <c r="D75" s="24">
        <f>+C75+B75</f>
        <v>108090</v>
      </c>
      <c r="E75" s="21">
        <v>0</v>
      </c>
      <c r="F75" s="21">
        <v>13228</v>
      </c>
      <c r="G75" s="24">
        <f>+F75+E75</f>
        <v>13228</v>
      </c>
      <c r="H75" s="2">
        <f>+G75-D75</f>
        <v>-94862</v>
      </c>
    </row>
    <row r="76" spans="1:8" x14ac:dyDescent="0.55000000000000004">
      <c r="A76" t="s">
        <v>6</v>
      </c>
      <c r="B76" s="21">
        <v>19634</v>
      </c>
      <c r="C76" s="21">
        <v>60387</v>
      </c>
      <c r="D76" s="24">
        <f>+C76+B76</f>
        <v>80021</v>
      </c>
      <c r="E76" s="21">
        <v>22784</v>
      </c>
      <c r="F76" s="21">
        <v>42658</v>
      </c>
      <c r="G76" s="24">
        <f>+F76+E76</f>
        <v>65442</v>
      </c>
      <c r="H76" s="2">
        <f>+G76-D76</f>
        <v>-14579</v>
      </c>
    </row>
    <row r="77" spans="1:8" x14ac:dyDescent="0.55000000000000004">
      <c r="A77" t="s">
        <v>8</v>
      </c>
      <c r="B77" s="21">
        <v>72852</v>
      </c>
      <c r="C77" s="21">
        <v>12222</v>
      </c>
      <c r="D77" s="24">
        <f>+C77+B77</f>
        <v>85074</v>
      </c>
      <c r="E77" s="21">
        <v>0</v>
      </c>
      <c r="F77" s="21">
        <v>57634</v>
      </c>
      <c r="G77" s="24">
        <f>+F77+E77</f>
        <v>57634</v>
      </c>
      <c r="H77" s="2">
        <f>+G77-D77</f>
        <v>-27440</v>
      </c>
    </row>
    <row r="78" spans="1:8" x14ac:dyDescent="0.55000000000000004">
      <c r="A78" s="5" t="s">
        <v>45</v>
      </c>
      <c r="B78" s="38">
        <v>32307</v>
      </c>
      <c r="C78" s="38">
        <v>25813</v>
      </c>
      <c r="D78" s="25">
        <f>+C78+B78</f>
        <v>58120</v>
      </c>
      <c r="E78" s="38">
        <v>0</v>
      </c>
      <c r="F78" s="38">
        <v>18387</v>
      </c>
      <c r="G78" s="25">
        <f>+F78+E78</f>
        <v>18387</v>
      </c>
      <c r="H78" s="9">
        <f>+G78-D78</f>
        <v>-39733</v>
      </c>
    </row>
    <row r="79" spans="1:8" x14ac:dyDescent="0.55000000000000004">
      <c r="A79" s="3" t="s">
        <v>46</v>
      </c>
      <c r="B79" s="4">
        <f t="shared" ref="B79:H79" si="9">SUM(B74:B78)</f>
        <v>181981</v>
      </c>
      <c r="C79" s="4">
        <f t="shared" si="9"/>
        <v>311661</v>
      </c>
      <c r="D79" s="26">
        <f t="shared" si="9"/>
        <v>493642</v>
      </c>
      <c r="E79" s="4">
        <f t="shared" si="9"/>
        <v>35543</v>
      </c>
      <c r="F79" s="4">
        <f t="shared" si="9"/>
        <v>223738</v>
      </c>
      <c r="G79" s="26">
        <f t="shared" si="9"/>
        <v>259281</v>
      </c>
      <c r="H79" s="4">
        <f t="shared" si="9"/>
        <v>-234361</v>
      </c>
    </row>
    <row r="81" spans="1:8" x14ac:dyDescent="0.55000000000000004">
      <c r="A81" s="22">
        <v>45473</v>
      </c>
      <c r="B81" s="23" t="s">
        <v>11</v>
      </c>
      <c r="C81" s="23" t="s">
        <v>39</v>
      </c>
      <c r="D81" s="23" t="s">
        <v>40</v>
      </c>
      <c r="E81" s="23" t="s">
        <v>41</v>
      </c>
      <c r="F81" s="23" t="s">
        <v>42</v>
      </c>
      <c r="G81" s="23" t="s">
        <v>40</v>
      </c>
      <c r="H81" s="23" t="s">
        <v>43</v>
      </c>
    </row>
    <row r="82" spans="1:8" x14ac:dyDescent="0.55000000000000004">
      <c r="A82" t="s">
        <v>2</v>
      </c>
      <c r="B82" s="2">
        <v>25565</v>
      </c>
      <c r="C82" s="2">
        <f>36236+91240</f>
        <v>127476</v>
      </c>
      <c r="D82" s="24">
        <f>+C82+B82</f>
        <v>153041</v>
      </c>
      <c r="E82" s="2">
        <f>2994+12114</f>
        <v>15108</v>
      </c>
      <c r="F82" s="2">
        <v>86196</v>
      </c>
      <c r="G82" s="24">
        <f>+F82+E82</f>
        <v>101304</v>
      </c>
      <c r="H82" s="2">
        <f>+G82-D82</f>
        <v>-51737</v>
      </c>
    </row>
    <row r="83" spans="1:8" x14ac:dyDescent="0.55000000000000004">
      <c r="A83" t="s">
        <v>44</v>
      </c>
      <c r="B83" s="21">
        <v>27225</v>
      </c>
      <c r="C83" s="21">
        <v>73500</v>
      </c>
      <c r="D83" s="24">
        <f>+C83+B83</f>
        <v>100725</v>
      </c>
      <c r="E83" s="21">
        <v>0</v>
      </c>
      <c r="F83" s="21">
        <v>13238</v>
      </c>
      <c r="G83" s="24">
        <f>+F83+E83</f>
        <v>13238</v>
      </c>
      <c r="H83" s="2">
        <f>+G83-D83</f>
        <v>-87487</v>
      </c>
    </row>
    <row r="84" spans="1:8" x14ac:dyDescent="0.55000000000000004">
      <c r="A84" t="s">
        <v>6</v>
      </c>
      <c r="B84" s="21">
        <v>18315</v>
      </c>
      <c r="C84" s="21">
        <v>57228</v>
      </c>
      <c r="D84" s="24">
        <f>+C84+B84</f>
        <v>75543</v>
      </c>
      <c r="E84" s="21">
        <f>6693+2249</f>
        <v>8942</v>
      </c>
      <c r="F84" s="21">
        <v>42688</v>
      </c>
      <c r="G84" s="24">
        <f>+F84+E84</f>
        <v>51630</v>
      </c>
      <c r="H84" s="2">
        <f>+G84-D84</f>
        <v>-23913</v>
      </c>
    </row>
    <row r="85" spans="1:8" x14ac:dyDescent="0.55000000000000004">
      <c r="A85" t="s">
        <v>8</v>
      </c>
      <c r="B85" s="21">
        <v>71178</v>
      </c>
      <c r="C85" s="21">
        <v>13393</v>
      </c>
      <c r="D85" s="24">
        <f>+C85+B85</f>
        <v>84571</v>
      </c>
      <c r="E85" s="21">
        <v>0</v>
      </c>
      <c r="F85" s="21">
        <v>54889</v>
      </c>
      <c r="G85" s="24">
        <f>+F85+E85</f>
        <v>54889</v>
      </c>
      <c r="H85" s="2">
        <f>+G85-D85</f>
        <v>-29682</v>
      </c>
    </row>
    <row r="86" spans="1:8" x14ac:dyDescent="0.55000000000000004">
      <c r="A86" s="5" t="s">
        <v>45</v>
      </c>
      <c r="B86" s="38">
        <v>32045</v>
      </c>
      <c r="C86" s="38">
        <v>26035</v>
      </c>
      <c r="D86" s="25">
        <f>+C86+B86</f>
        <v>58080</v>
      </c>
      <c r="E86" s="38">
        <v>0</v>
      </c>
      <c r="F86" s="38">
        <v>18389</v>
      </c>
      <c r="G86" s="25">
        <f>+F86+E86</f>
        <v>18389</v>
      </c>
      <c r="H86" s="9">
        <f>+G86-D86</f>
        <v>-39691</v>
      </c>
    </row>
    <row r="87" spans="1:8" x14ac:dyDescent="0.55000000000000004">
      <c r="A87" s="3" t="s">
        <v>46</v>
      </c>
      <c r="B87" s="4">
        <f t="shared" ref="B87:H87" si="10">SUM(B82:B86)</f>
        <v>174328</v>
      </c>
      <c r="C87" s="4">
        <f t="shared" si="10"/>
        <v>297632</v>
      </c>
      <c r="D87" s="26">
        <f t="shared" si="10"/>
        <v>471960</v>
      </c>
      <c r="E87" s="4">
        <f t="shared" si="10"/>
        <v>24050</v>
      </c>
      <c r="F87" s="4">
        <f t="shared" si="10"/>
        <v>215400</v>
      </c>
      <c r="G87" s="26">
        <f t="shared" si="10"/>
        <v>239450</v>
      </c>
      <c r="H87" s="4">
        <f t="shared" si="10"/>
        <v>-232510</v>
      </c>
    </row>
    <row r="89" spans="1:8" x14ac:dyDescent="0.55000000000000004">
      <c r="A89" s="22">
        <v>45565</v>
      </c>
      <c r="B89" s="23" t="s">
        <v>11</v>
      </c>
      <c r="C89" s="23" t="s">
        <v>39</v>
      </c>
      <c r="D89" s="23" t="s">
        <v>40</v>
      </c>
      <c r="E89" s="23" t="s">
        <v>41</v>
      </c>
      <c r="F89" s="23" t="s">
        <v>42</v>
      </c>
      <c r="G89" s="23" t="s">
        <v>40</v>
      </c>
      <c r="H89" s="23" t="s">
        <v>43</v>
      </c>
    </row>
    <row r="90" spans="1:8" x14ac:dyDescent="0.55000000000000004">
      <c r="A90" t="s">
        <v>2</v>
      </c>
      <c r="B90" s="2">
        <v>29943</v>
      </c>
      <c r="C90" s="2">
        <f>35228+91749</f>
        <v>126977</v>
      </c>
      <c r="D90" s="24">
        <f>+C90+B90</f>
        <v>156920</v>
      </c>
      <c r="E90" s="2">
        <f>10912+9967</f>
        <v>20879</v>
      </c>
      <c r="F90" s="2">
        <v>85750</v>
      </c>
      <c r="G90" s="24">
        <f>+F90+E90</f>
        <v>106629</v>
      </c>
      <c r="H90" s="2">
        <f>+G90-D90</f>
        <v>-50291</v>
      </c>
    </row>
    <row r="91" spans="1:8" x14ac:dyDescent="0.55000000000000004">
      <c r="A91" t="s">
        <v>44</v>
      </c>
      <c r="B91" s="21">
        <v>19959</v>
      </c>
      <c r="C91" s="21">
        <v>73271</v>
      </c>
      <c r="D91" s="24">
        <f>+C91+B91</f>
        <v>93230</v>
      </c>
      <c r="E91" s="21">
        <v>0</v>
      </c>
      <c r="F91" s="21">
        <v>12297</v>
      </c>
      <c r="G91" s="24">
        <f>+F91+E91</f>
        <v>12297</v>
      </c>
      <c r="H91" s="2">
        <f>+G91-D91</f>
        <v>-80933</v>
      </c>
    </row>
    <row r="92" spans="1:8" x14ac:dyDescent="0.55000000000000004">
      <c r="A92" t="s">
        <v>6</v>
      </c>
      <c r="B92" s="21">
        <v>20840</v>
      </c>
      <c r="C92" s="21">
        <v>57588</v>
      </c>
      <c r="D92" s="24">
        <f>+C92+B92</f>
        <v>78428</v>
      </c>
      <c r="E92" s="21">
        <v>2249</v>
      </c>
      <c r="F92" s="21">
        <v>42868</v>
      </c>
      <c r="G92" s="24">
        <f>+F92+E92</f>
        <v>45117</v>
      </c>
      <c r="H92" s="2">
        <f>+G92-D92</f>
        <v>-33311</v>
      </c>
    </row>
    <row r="93" spans="1:8" x14ac:dyDescent="0.55000000000000004">
      <c r="A93" t="s">
        <v>8</v>
      </c>
      <c r="B93" s="21">
        <v>75091</v>
      </c>
      <c r="C93" s="21">
        <v>12960</v>
      </c>
      <c r="D93" s="24">
        <f>+C93+B93</f>
        <v>88051</v>
      </c>
      <c r="E93" s="21">
        <v>0</v>
      </c>
      <c r="F93" s="21">
        <v>54890</v>
      </c>
      <c r="G93" s="24">
        <f>+F93+E93</f>
        <v>54890</v>
      </c>
      <c r="H93" s="2">
        <f>+G93-D93</f>
        <v>-33161</v>
      </c>
    </row>
    <row r="94" spans="1:8" x14ac:dyDescent="0.55000000000000004">
      <c r="A94" s="5" t="s">
        <v>45</v>
      </c>
      <c r="B94" s="38">
        <v>43852</v>
      </c>
      <c r="C94" s="38">
        <v>27048</v>
      </c>
      <c r="D94" s="25">
        <f>+C94+B94</f>
        <v>70900</v>
      </c>
      <c r="E94" s="38">
        <v>0</v>
      </c>
      <c r="F94" s="38">
        <v>28823</v>
      </c>
      <c r="G94" s="25">
        <f>+F94+E94</f>
        <v>28823</v>
      </c>
      <c r="H94" s="9">
        <f>+G94-D94</f>
        <v>-42077</v>
      </c>
    </row>
    <row r="95" spans="1:8" x14ac:dyDescent="0.55000000000000004">
      <c r="A95" s="3" t="s">
        <v>46</v>
      </c>
      <c r="B95" s="4">
        <f t="shared" ref="B95:H95" si="11">SUM(B90:B94)</f>
        <v>189685</v>
      </c>
      <c r="C95" s="4">
        <f t="shared" si="11"/>
        <v>297844</v>
      </c>
      <c r="D95" s="26">
        <f t="shared" si="11"/>
        <v>487529</v>
      </c>
      <c r="E95" s="4">
        <f t="shared" si="11"/>
        <v>23128</v>
      </c>
      <c r="F95" s="4">
        <f t="shared" si="11"/>
        <v>224628</v>
      </c>
      <c r="G95" s="26">
        <f t="shared" si="11"/>
        <v>247756</v>
      </c>
      <c r="H95" s="4">
        <f t="shared" si="11"/>
        <v>-239773</v>
      </c>
    </row>
    <row r="97" spans="1:8" x14ac:dyDescent="0.55000000000000004">
      <c r="A97" s="22">
        <v>45657</v>
      </c>
      <c r="B97" s="23" t="s">
        <v>11</v>
      </c>
      <c r="C97" s="23" t="s">
        <v>39</v>
      </c>
      <c r="D97" s="23" t="s">
        <v>40</v>
      </c>
      <c r="E97" s="23" t="s">
        <v>41</v>
      </c>
      <c r="F97" s="23" t="s">
        <v>42</v>
      </c>
      <c r="G97" s="23" t="s">
        <v>40</v>
      </c>
      <c r="H97" s="23" t="s">
        <v>43</v>
      </c>
    </row>
    <row r="98" spans="1:8" x14ac:dyDescent="0.55000000000000004">
      <c r="A98" t="s">
        <v>2</v>
      </c>
      <c r="B98" s="2">
        <v>30299</v>
      </c>
      <c r="C98" s="2">
        <f>23476+87593</f>
        <v>111069</v>
      </c>
      <c r="D98" s="24">
        <f>+C98+B98</f>
        <v>141368</v>
      </c>
      <c r="E98" s="2">
        <v>12843</v>
      </c>
      <c r="F98" s="2">
        <v>83956</v>
      </c>
      <c r="G98" s="24">
        <f>+F98+E98</f>
        <v>96799</v>
      </c>
      <c r="H98" s="2">
        <f>+G98-D98</f>
        <v>-44569</v>
      </c>
    </row>
    <row r="99" spans="1:8" x14ac:dyDescent="0.55000000000000004">
      <c r="A99" t="s">
        <v>44</v>
      </c>
      <c r="B99" s="21">
        <v>23466</v>
      </c>
      <c r="C99" s="21">
        <v>72191</v>
      </c>
      <c r="D99" s="24">
        <f>+C99+B99</f>
        <v>95657</v>
      </c>
      <c r="E99" s="21">
        <v>0</v>
      </c>
      <c r="F99" s="21">
        <v>10883</v>
      </c>
      <c r="G99" s="24">
        <f>+F99+E99</f>
        <v>10883</v>
      </c>
      <c r="H99" s="2">
        <f>+G99-D99</f>
        <v>-84774</v>
      </c>
    </row>
    <row r="100" spans="1:8" x14ac:dyDescent="0.55000000000000004">
      <c r="A100" t="s">
        <v>6</v>
      </c>
      <c r="B100" s="21">
        <v>17482</v>
      </c>
      <c r="C100" s="21">
        <v>54073</v>
      </c>
      <c r="D100" s="24">
        <f>+C100+B100</f>
        <v>71555</v>
      </c>
      <c r="E100" s="21">
        <v>5248</v>
      </c>
      <c r="F100" s="21">
        <v>24389</v>
      </c>
      <c r="G100" s="24">
        <f>+F100+E100</f>
        <v>29637</v>
      </c>
      <c r="H100" s="2">
        <f>+G100-D100</f>
        <v>-41918</v>
      </c>
    </row>
    <row r="101" spans="1:8" x14ac:dyDescent="0.55000000000000004">
      <c r="A101" t="s">
        <v>8</v>
      </c>
      <c r="B101" s="21">
        <v>78779</v>
      </c>
      <c r="C101" s="21">
        <v>22423</v>
      </c>
      <c r="D101" s="24">
        <f>+C101+B101</f>
        <v>101202</v>
      </c>
      <c r="E101" s="21">
        <v>0</v>
      </c>
      <c r="F101" s="21">
        <v>52623</v>
      </c>
      <c r="G101" s="24">
        <f>+F101+E101</f>
        <v>52623</v>
      </c>
      <c r="H101" s="2">
        <f>+G101-D101</f>
        <v>-48579</v>
      </c>
    </row>
    <row r="102" spans="1:8" x14ac:dyDescent="0.55000000000000004">
      <c r="A102" s="5" t="s">
        <v>45</v>
      </c>
      <c r="B102" s="38">
        <v>43889</v>
      </c>
      <c r="C102" s="38">
        <v>33926</v>
      </c>
      <c r="D102" s="25">
        <f>+C102+B102</f>
        <v>77815</v>
      </c>
      <c r="E102" s="38">
        <v>0</v>
      </c>
      <c r="F102" s="38">
        <v>28826</v>
      </c>
      <c r="G102" s="25">
        <f>+F102+E102</f>
        <v>28826</v>
      </c>
      <c r="H102" s="9">
        <f>+G102-D102</f>
        <v>-48989</v>
      </c>
    </row>
    <row r="103" spans="1:8" x14ac:dyDescent="0.55000000000000004">
      <c r="A103" s="3" t="s">
        <v>46</v>
      </c>
      <c r="B103" s="4">
        <f t="shared" ref="B103:H103" si="12">SUM(B98:B102)</f>
        <v>193915</v>
      </c>
      <c r="C103" s="4">
        <f t="shared" si="12"/>
        <v>293682</v>
      </c>
      <c r="D103" s="26">
        <f t="shared" si="12"/>
        <v>487597</v>
      </c>
      <c r="E103" s="4">
        <f t="shared" si="12"/>
        <v>18091</v>
      </c>
      <c r="F103" s="4">
        <f t="shared" si="12"/>
        <v>200677</v>
      </c>
      <c r="G103" s="26">
        <f t="shared" si="12"/>
        <v>218768</v>
      </c>
      <c r="H103" s="4">
        <f t="shared" si="12"/>
        <v>-268829</v>
      </c>
    </row>
    <row r="105" spans="1:8" x14ac:dyDescent="0.55000000000000004">
      <c r="A105" s="22">
        <v>45747</v>
      </c>
      <c r="B105" s="23" t="s">
        <v>11</v>
      </c>
      <c r="C105" s="23" t="s">
        <v>39</v>
      </c>
      <c r="D105" s="23" t="s">
        <v>40</v>
      </c>
      <c r="E105" s="23" t="s">
        <v>41</v>
      </c>
      <c r="F105" s="23" t="s">
        <v>42</v>
      </c>
      <c r="G105" s="23" t="s">
        <v>40</v>
      </c>
      <c r="H105" s="23" t="s">
        <v>43</v>
      </c>
    </row>
    <row r="106" spans="1:8" x14ac:dyDescent="0.55000000000000004">
      <c r="A106" t="s">
        <v>2</v>
      </c>
      <c r="B106" s="2">
        <v>28162</v>
      </c>
      <c r="C106" s="2">
        <f>20366+84424</f>
        <v>104790</v>
      </c>
      <c r="D106" s="24">
        <f>+C106+B106</f>
        <v>132952</v>
      </c>
      <c r="E106" s="2">
        <f>5982+13638</f>
        <v>19620</v>
      </c>
      <c r="F106" s="2">
        <v>78566</v>
      </c>
      <c r="G106" s="24">
        <f>+F106+E106</f>
        <v>98186</v>
      </c>
      <c r="H106" s="2">
        <f>+G106-D106</f>
        <v>-34766</v>
      </c>
    </row>
    <row r="107" spans="1:8" x14ac:dyDescent="0.55000000000000004">
      <c r="A107" t="s">
        <v>44</v>
      </c>
      <c r="B107" s="21">
        <v>23264</v>
      </c>
      <c r="C107" s="21">
        <v>72064</v>
      </c>
      <c r="D107" s="24">
        <f>+C107+B107</f>
        <v>95328</v>
      </c>
      <c r="E107" s="21">
        <v>0</v>
      </c>
      <c r="F107" s="21">
        <v>10886</v>
      </c>
      <c r="G107" s="24">
        <f>+F107+E107</f>
        <v>10886</v>
      </c>
      <c r="H107" s="2">
        <f>+G107-D107</f>
        <v>-84442</v>
      </c>
    </row>
    <row r="108" spans="1:8" x14ac:dyDescent="0.55000000000000004">
      <c r="A108" t="s">
        <v>6</v>
      </c>
      <c r="B108" s="21">
        <v>28828</v>
      </c>
      <c r="C108" s="21">
        <v>50790</v>
      </c>
      <c r="D108" s="24">
        <f>+C108+B108</f>
        <v>79618</v>
      </c>
      <c r="E108" s="21">
        <v>2999</v>
      </c>
      <c r="F108" s="21">
        <v>39882</v>
      </c>
      <c r="G108" s="24">
        <f>+F108+E108</f>
        <v>42881</v>
      </c>
      <c r="H108" s="2">
        <f>+G108-D108</f>
        <v>-36737</v>
      </c>
    </row>
    <row r="109" spans="1:8" x14ac:dyDescent="0.55000000000000004">
      <c r="A109" t="s">
        <v>8</v>
      </c>
      <c r="B109" s="21">
        <v>66207</v>
      </c>
      <c r="C109" s="21">
        <v>28358</v>
      </c>
      <c r="D109" s="24">
        <f>+C109+B109</f>
        <v>94565</v>
      </c>
      <c r="E109" s="21"/>
      <c r="F109" s="21">
        <v>52623</v>
      </c>
      <c r="G109" s="24">
        <f>+F109+E109</f>
        <v>52623</v>
      </c>
      <c r="H109" s="2">
        <f>+G109-D109</f>
        <v>-41942</v>
      </c>
    </row>
    <row r="110" spans="1:8" x14ac:dyDescent="0.55000000000000004">
      <c r="A110" s="5" t="s">
        <v>45</v>
      </c>
      <c r="B110" s="38">
        <v>28750</v>
      </c>
      <c r="C110" s="38">
        <v>41480</v>
      </c>
      <c r="D110" s="25">
        <f>+C110+B110</f>
        <v>70230</v>
      </c>
      <c r="E110" s="38"/>
      <c r="F110" s="38">
        <v>28829</v>
      </c>
      <c r="G110" s="25">
        <f>+F110+E110</f>
        <v>28829</v>
      </c>
      <c r="H110" s="9">
        <f>+G110-D110</f>
        <v>-41401</v>
      </c>
    </row>
    <row r="111" spans="1:8" x14ac:dyDescent="0.55000000000000004">
      <c r="A111" s="3" t="s">
        <v>46</v>
      </c>
      <c r="B111" s="4">
        <f t="shared" ref="B111:H111" si="13">SUM(B106:B110)</f>
        <v>175211</v>
      </c>
      <c r="C111" s="4">
        <f t="shared" si="13"/>
        <v>297482</v>
      </c>
      <c r="D111" s="26">
        <f t="shared" si="13"/>
        <v>472693</v>
      </c>
      <c r="E111" s="4">
        <f t="shared" si="13"/>
        <v>22619</v>
      </c>
      <c r="F111" s="4">
        <f t="shared" si="13"/>
        <v>210786</v>
      </c>
      <c r="G111" s="26">
        <f t="shared" si="13"/>
        <v>233405</v>
      </c>
      <c r="H111" s="4">
        <f t="shared" si="13"/>
        <v>-239288</v>
      </c>
    </row>
    <row r="112" spans="1:8" ht="16.3" customHeight="1" x14ac:dyDescent="0.55000000000000004"/>
    <row r="113" spans="1:8" x14ac:dyDescent="0.55000000000000004">
      <c r="A113" s="22">
        <v>45838</v>
      </c>
      <c r="B113" s="23" t="s">
        <v>11</v>
      </c>
      <c r="C113" s="23" t="s">
        <v>39</v>
      </c>
      <c r="D113" s="23" t="s">
        <v>40</v>
      </c>
      <c r="E113" s="23" t="s">
        <v>41</v>
      </c>
      <c r="F113" s="23" t="s">
        <v>42</v>
      </c>
      <c r="G113" s="23" t="s">
        <v>40</v>
      </c>
      <c r="H113" s="23" t="s">
        <v>43</v>
      </c>
    </row>
    <row r="114" spans="1:8" x14ac:dyDescent="0.55000000000000004">
      <c r="A114" t="s">
        <v>2</v>
      </c>
      <c r="B114" s="2">
        <v>36269</v>
      </c>
      <c r="C114" s="2">
        <f>19103+77614</f>
        <v>96717</v>
      </c>
      <c r="D114" s="24">
        <f>+C114+B114</f>
        <v>132986</v>
      </c>
      <c r="E114" s="2">
        <v>19268</v>
      </c>
      <c r="F114" s="2">
        <v>82430</v>
      </c>
      <c r="G114" s="24">
        <f>+F114+E114</f>
        <v>101698</v>
      </c>
      <c r="H114" s="2">
        <f>+G114-D114</f>
        <v>-31288</v>
      </c>
    </row>
    <row r="115" spans="1:8" x14ac:dyDescent="0.55000000000000004">
      <c r="A115" t="s">
        <v>44</v>
      </c>
      <c r="B115" s="21">
        <v>21036</v>
      </c>
      <c r="C115" s="21">
        <v>74112</v>
      </c>
      <c r="D115" s="24">
        <f>+C115+B115</f>
        <v>95148</v>
      </c>
      <c r="E115" s="21">
        <v>0</v>
      </c>
      <c r="F115" s="21">
        <v>23607</v>
      </c>
      <c r="G115" s="24">
        <f>+F115+E115</f>
        <v>23607</v>
      </c>
      <c r="H115" s="2">
        <f>+G115-D115</f>
        <v>-71541</v>
      </c>
    </row>
    <row r="116" spans="1:8" x14ac:dyDescent="0.55000000000000004">
      <c r="A116" t="s">
        <v>6</v>
      </c>
      <c r="B116" s="2">
        <v>30242</v>
      </c>
      <c r="C116" s="2">
        <v>64323</v>
      </c>
      <c r="D116" s="24">
        <f>+C116+B116</f>
        <v>94565</v>
      </c>
      <c r="E116" s="2">
        <v>0</v>
      </c>
      <c r="F116" s="2">
        <f>40152+2999</f>
        <v>43151</v>
      </c>
      <c r="G116" s="24">
        <f>+F116+E116</f>
        <v>43151</v>
      </c>
      <c r="H116" s="2">
        <f>+G116-D116</f>
        <v>-51414</v>
      </c>
    </row>
    <row r="117" spans="1:8" x14ac:dyDescent="0.55000000000000004">
      <c r="A117" t="s">
        <v>8</v>
      </c>
      <c r="B117" s="21">
        <v>57741</v>
      </c>
      <c r="C117" s="21">
        <v>35439</v>
      </c>
      <c r="D117" s="24">
        <f>+C117+B117</f>
        <v>93180</v>
      </c>
      <c r="E117" s="21">
        <v>0</v>
      </c>
      <c r="F117" s="21">
        <v>52623</v>
      </c>
      <c r="G117" s="24">
        <f>+F117+E117</f>
        <v>52623</v>
      </c>
      <c r="H117" s="2">
        <f>+G117-D117</f>
        <v>-40557</v>
      </c>
    </row>
    <row r="118" spans="1:8" x14ac:dyDescent="0.55000000000000004">
      <c r="A118" s="5" t="s">
        <v>45</v>
      </c>
      <c r="B118" s="38">
        <v>12005</v>
      </c>
      <c r="C118" s="38">
        <v>35066</v>
      </c>
      <c r="D118" s="25">
        <f>+C118+B118</f>
        <v>47071</v>
      </c>
      <c r="E118" s="38">
        <v>0</v>
      </c>
      <c r="F118" s="38">
        <v>28832</v>
      </c>
      <c r="G118" s="25">
        <f>+F118+E118</f>
        <v>28832</v>
      </c>
      <c r="H118" s="9">
        <f>+G118-D118</f>
        <v>-18239</v>
      </c>
    </row>
    <row r="119" spans="1:8" x14ac:dyDescent="0.55000000000000004">
      <c r="A119" s="3" t="s">
        <v>46</v>
      </c>
      <c r="B119" s="4">
        <f t="shared" ref="B119:H119" si="14">SUM(B114:B118)</f>
        <v>157293</v>
      </c>
      <c r="C119" s="4">
        <f t="shared" si="14"/>
        <v>305657</v>
      </c>
      <c r="D119" s="26">
        <f t="shared" si="14"/>
        <v>462950</v>
      </c>
      <c r="E119" s="4">
        <f t="shared" si="14"/>
        <v>19268</v>
      </c>
      <c r="F119" s="4">
        <f t="shared" si="14"/>
        <v>230643</v>
      </c>
      <c r="G119" s="26">
        <f t="shared" si="14"/>
        <v>249911</v>
      </c>
      <c r="H119" s="4">
        <f t="shared" si="14"/>
        <v>-213039</v>
      </c>
    </row>
    <row r="121" spans="1:8" x14ac:dyDescent="0.55000000000000004">
      <c r="A121" s="22">
        <v>45930</v>
      </c>
      <c r="B121" s="23" t="s">
        <v>11</v>
      </c>
      <c r="C121" s="23" t="s">
        <v>39</v>
      </c>
      <c r="D121" s="23" t="s">
        <v>40</v>
      </c>
      <c r="E121" s="23" t="s">
        <v>41</v>
      </c>
      <c r="F121" s="23" t="s">
        <v>42</v>
      </c>
      <c r="G121" s="23" t="s">
        <v>40</v>
      </c>
      <c r="H121" s="23" t="s">
        <v>43</v>
      </c>
    </row>
    <row r="122" spans="1:8" x14ac:dyDescent="0.55000000000000004">
      <c r="A122" t="s">
        <v>2</v>
      </c>
      <c r="B122" s="2">
        <v>35934</v>
      </c>
      <c r="C122" s="2">
        <f>18763+77723</f>
        <v>96486</v>
      </c>
      <c r="D122" s="24">
        <f>+C122+B122</f>
        <v>132420</v>
      </c>
      <c r="E122" s="2">
        <v>20329</v>
      </c>
      <c r="F122" s="2">
        <v>78328</v>
      </c>
      <c r="G122" s="24">
        <f>+F122+E122</f>
        <v>98657</v>
      </c>
      <c r="H122" s="2">
        <f>+G122-D122</f>
        <v>-33763</v>
      </c>
    </row>
    <row r="123" spans="1:8" x14ac:dyDescent="0.55000000000000004">
      <c r="A123" t="s">
        <v>44</v>
      </c>
      <c r="B123" s="21">
        <v>23090</v>
      </c>
      <c r="C123" s="21">
        <v>75406</v>
      </c>
      <c r="D123" s="24">
        <f>+C123+B123</f>
        <v>98496</v>
      </c>
      <c r="E123" s="21">
        <v>0</v>
      </c>
      <c r="F123" s="21">
        <v>21607</v>
      </c>
      <c r="G123" s="24">
        <f>+F123+E123</f>
        <v>21607</v>
      </c>
      <c r="H123" s="2">
        <f>+G123-D123</f>
        <v>-76889</v>
      </c>
    </row>
    <row r="124" spans="1:8" x14ac:dyDescent="0.55000000000000004">
      <c r="A124" t="s">
        <v>6</v>
      </c>
      <c r="B124" s="2">
        <v>28849</v>
      </c>
      <c r="C124" s="2">
        <v>73163</v>
      </c>
      <c r="D124" s="24">
        <f>+C124+B124</f>
        <v>102012</v>
      </c>
      <c r="E124" s="2">
        <v>7832</v>
      </c>
      <c r="F124" s="2">
        <v>35376</v>
      </c>
      <c r="G124" s="24">
        <f>+F124+E124</f>
        <v>43208</v>
      </c>
      <c r="H124" s="2">
        <f>+G124-D124</f>
        <v>-58804</v>
      </c>
    </row>
    <row r="125" spans="1:8" x14ac:dyDescent="0.55000000000000004">
      <c r="A125" t="s">
        <v>8</v>
      </c>
      <c r="B125" s="21">
        <v>66922</v>
      </c>
      <c r="C125" s="21">
        <v>27275</v>
      </c>
      <c r="D125" s="24">
        <f>+C125+B125</f>
        <v>94197</v>
      </c>
      <c r="E125" s="21">
        <v>0</v>
      </c>
      <c r="F125" s="21">
        <v>50742</v>
      </c>
      <c r="G125" s="24">
        <f>+F125+E125</f>
        <v>50742</v>
      </c>
      <c r="H125" s="2">
        <f>+G125-D125</f>
        <v>-43455</v>
      </c>
    </row>
    <row r="126" spans="1:8" x14ac:dyDescent="0.55000000000000004">
      <c r="A126" s="5" t="s">
        <v>45</v>
      </c>
      <c r="B126" s="38">
        <v>10187</v>
      </c>
      <c r="C126" s="38">
        <v>34261</v>
      </c>
      <c r="D126" s="25">
        <f>+C126+B126</f>
        <v>44448</v>
      </c>
      <c r="E126" s="38">
        <v>0</v>
      </c>
      <c r="F126" s="38">
        <v>28834</v>
      </c>
      <c r="G126" s="25">
        <f>+F126+E126</f>
        <v>28834</v>
      </c>
      <c r="H126" s="9">
        <f>+G126-D126</f>
        <v>-15614</v>
      </c>
    </row>
    <row r="127" spans="1:8" x14ac:dyDescent="0.55000000000000004">
      <c r="A127" s="3" t="s">
        <v>46</v>
      </c>
      <c r="B127" s="4">
        <f t="shared" ref="B127:H127" si="15">SUM(B122:B126)</f>
        <v>164982</v>
      </c>
      <c r="C127" s="4">
        <f t="shared" si="15"/>
        <v>306591</v>
      </c>
      <c r="D127" s="26">
        <f t="shared" si="15"/>
        <v>471573</v>
      </c>
      <c r="E127" s="4">
        <f t="shared" si="15"/>
        <v>28161</v>
      </c>
      <c r="F127" s="4">
        <f t="shared" si="15"/>
        <v>214887</v>
      </c>
      <c r="G127" s="26">
        <f t="shared" si="15"/>
        <v>243048</v>
      </c>
      <c r="H127" s="4">
        <f t="shared" si="15"/>
        <v>-228525</v>
      </c>
    </row>
    <row r="130" spans="1:8" x14ac:dyDescent="0.55000000000000004">
      <c r="A130" s="22">
        <v>46022</v>
      </c>
      <c r="B130" s="23" t="s">
        <v>11</v>
      </c>
      <c r="C130" s="23" t="s">
        <v>39</v>
      </c>
      <c r="D130" s="23" t="s">
        <v>40</v>
      </c>
      <c r="E130" s="23" t="s">
        <v>41</v>
      </c>
      <c r="F130" s="23" t="s">
        <v>42</v>
      </c>
      <c r="G130" s="23" t="s">
        <v>40</v>
      </c>
      <c r="H130" s="23" t="s">
        <v>43</v>
      </c>
    </row>
    <row r="131" spans="1:8" x14ac:dyDescent="0.55000000000000004">
      <c r="A131" t="s">
        <v>2</v>
      </c>
      <c r="B131" s="2">
        <v>45317</v>
      </c>
      <c r="C131" s="2">
        <f>21590+77888</f>
        <v>99478</v>
      </c>
      <c r="D131" s="24">
        <f>+C131+B131</f>
        <v>144795</v>
      </c>
      <c r="E131" s="2">
        <v>1997</v>
      </c>
      <c r="F131" s="2">
        <v>76685</v>
      </c>
      <c r="G131" s="24">
        <f>+F131+E131</f>
        <v>78682</v>
      </c>
      <c r="H131" s="2">
        <f>+G131-D131</f>
        <v>-66113</v>
      </c>
    </row>
    <row r="132" spans="1:8" x14ac:dyDescent="0.55000000000000004">
      <c r="A132" t="s">
        <v>44</v>
      </c>
      <c r="B132" s="21">
        <v>30708</v>
      </c>
      <c r="C132" s="21">
        <v>96135</v>
      </c>
      <c r="D132" s="24">
        <f>+C132+B132</f>
        <v>126843</v>
      </c>
      <c r="E132" s="21">
        <v>0</v>
      </c>
      <c r="F132" s="21">
        <v>46547</v>
      </c>
      <c r="G132" s="24">
        <f>+F132+E132</f>
        <v>46547</v>
      </c>
      <c r="H132" s="2">
        <f>+G132-D132</f>
        <v>-80296</v>
      </c>
    </row>
    <row r="133" spans="1:8" x14ac:dyDescent="0.55000000000000004">
      <c r="A133" t="s">
        <v>6</v>
      </c>
      <c r="B133" s="2">
        <v>24296</v>
      </c>
      <c r="C133" s="2">
        <v>65166</v>
      </c>
      <c r="D133" s="24">
        <f>+C133+B133</f>
        <v>89462</v>
      </c>
      <c r="E133" s="2">
        <v>4837</v>
      </c>
      <c r="F133" s="2">
        <v>35425</v>
      </c>
      <c r="G133" s="24">
        <f>+F133+E133</f>
        <v>40262</v>
      </c>
      <c r="H133" s="2">
        <f>+G133-D133</f>
        <v>-49200</v>
      </c>
    </row>
    <row r="134" spans="1:8" x14ac:dyDescent="0.55000000000000004">
      <c r="A134" t="s">
        <v>8</v>
      </c>
      <c r="B134" s="21">
        <v>86810</v>
      </c>
      <c r="C134" s="21">
        <v>36219</v>
      </c>
      <c r="D134" s="24">
        <f>+C134+B134</f>
        <v>123029</v>
      </c>
      <c r="E134" s="21">
        <v>0</v>
      </c>
      <c r="F134" s="21">
        <v>65648</v>
      </c>
      <c r="G134" s="24">
        <f>+F134+E134</f>
        <v>65648</v>
      </c>
      <c r="H134" s="2">
        <f>+G134-D134</f>
        <v>-57381</v>
      </c>
    </row>
    <row r="135" spans="1:8" x14ac:dyDescent="0.55000000000000004">
      <c r="A135" s="5" t="s">
        <v>139</v>
      </c>
      <c r="B135" s="38">
        <v>35873</v>
      </c>
      <c r="C135" s="38">
        <v>45719</v>
      </c>
      <c r="D135" s="25">
        <f>+C135+B135</f>
        <v>81592</v>
      </c>
      <c r="E135" s="38">
        <v>0</v>
      </c>
      <c r="F135" s="38">
        <v>58744</v>
      </c>
      <c r="G135" s="25">
        <f>+F135+E135</f>
        <v>58744</v>
      </c>
      <c r="H135" s="9">
        <f>+G135-D135</f>
        <v>-22848</v>
      </c>
    </row>
    <row r="136" spans="1:8" x14ac:dyDescent="0.55000000000000004">
      <c r="A136" s="3" t="s">
        <v>46</v>
      </c>
      <c r="B136" s="4">
        <f t="shared" ref="B136:H136" si="16">SUM(B131:B135)</f>
        <v>223004</v>
      </c>
      <c r="C136" s="4">
        <f t="shared" si="16"/>
        <v>342717</v>
      </c>
      <c r="D136" s="26">
        <f t="shared" si="16"/>
        <v>565721</v>
      </c>
      <c r="E136" s="4">
        <f t="shared" si="16"/>
        <v>6834</v>
      </c>
      <c r="F136" s="4">
        <f t="shared" si="16"/>
        <v>283049</v>
      </c>
      <c r="G136" s="26">
        <f t="shared" si="16"/>
        <v>289883</v>
      </c>
      <c r="H136" s="4">
        <f t="shared" si="16"/>
        <v>-275838</v>
      </c>
    </row>
    <row r="138" spans="1:8" x14ac:dyDescent="0.55000000000000004">
      <c r="A138" s="22">
        <v>46112</v>
      </c>
      <c r="B138" s="23" t="s">
        <v>11</v>
      </c>
      <c r="C138" s="23" t="s">
        <v>39</v>
      </c>
      <c r="D138" s="23" t="s">
        <v>40</v>
      </c>
      <c r="E138" s="23" t="s">
        <v>41</v>
      </c>
      <c r="F138" s="23" t="s">
        <v>42</v>
      </c>
      <c r="G138" s="23" t="s">
        <v>40</v>
      </c>
      <c r="H138" s="23" t="s">
        <v>43</v>
      </c>
    </row>
    <row r="139" spans="1:8" x14ac:dyDescent="0.55000000000000004">
      <c r="A139" t="s">
        <v>2</v>
      </c>
      <c r="B139" s="2">
        <v>45572</v>
      </c>
      <c r="C139" s="2">
        <f>22935+78088</f>
        <v>101023</v>
      </c>
      <c r="D139" s="24">
        <f>+C139+B139</f>
        <v>146595</v>
      </c>
      <c r="E139" s="2">
        <f>1997+8310</f>
        <v>10307</v>
      </c>
      <c r="F139" s="2">
        <v>74404</v>
      </c>
      <c r="G139" s="24">
        <f>+F139+E139</f>
        <v>84711</v>
      </c>
      <c r="H139" s="2">
        <f>+G139-D139</f>
        <v>-61884</v>
      </c>
    </row>
    <row r="140" spans="1:8" x14ac:dyDescent="0.55000000000000004">
      <c r="A140" t="s">
        <v>44</v>
      </c>
      <c r="B140" s="21">
        <v>38063</v>
      </c>
      <c r="C140" s="21">
        <v>88777</v>
      </c>
      <c r="D140" s="24">
        <f>+C140+B140</f>
        <v>126840</v>
      </c>
      <c r="E140" s="21">
        <v>0</v>
      </c>
      <c r="F140" s="21">
        <v>77501</v>
      </c>
      <c r="G140" s="24">
        <f>+F140+E140</f>
        <v>77501</v>
      </c>
      <c r="H140" s="2">
        <f>+G140-D140</f>
        <v>-49339</v>
      </c>
    </row>
    <row r="141" spans="1:8" x14ac:dyDescent="0.55000000000000004">
      <c r="A141" t="s">
        <v>6</v>
      </c>
      <c r="B141" s="2">
        <v>32105</v>
      </c>
      <c r="C141" s="2">
        <v>46167</v>
      </c>
      <c r="D141" s="24">
        <f>+C141+B141</f>
        <v>78272</v>
      </c>
      <c r="E141" s="2">
        <v>8839</v>
      </c>
      <c r="F141" s="2">
        <v>31423</v>
      </c>
      <c r="G141" s="24">
        <f>+F141+E141</f>
        <v>40262</v>
      </c>
      <c r="H141" s="2">
        <f>+G141-D141</f>
        <v>-38010</v>
      </c>
    </row>
    <row r="142" spans="1:8" x14ac:dyDescent="0.55000000000000004">
      <c r="A142" t="s">
        <v>8</v>
      </c>
      <c r="B142" s="21">
        <v>101816</v>
      </c>
      <c r="C142" s="21">
        <v>41273</v>
      </c>
      <c r="D142" s="24">
        <f>+C142+B142</f>
        <v>143089</v>
      </c>
      <c r="E142" s="21">
        <v>0</v>
      </c>
      <c r="F142" s="21">
        <v>119074</v>
      </c>
      <c r="G142" s="24">
        <f>+F142+E142</f>
        <v>119074</v>
      </c>
      <c r="H142" s="2">
        <f>+G142-D142</f>
        <v>-24015</v>
      </c>
    </row>
    <row r="143" spans="1:8" x14ac:dyDescent="0.55000000000000004">
      <c r="A143" s="5" t="s">
        <v>139</v>
      </c>
      <c r="B143" s="38">
        <v>23426</v>
      </c>
      <c r="C143" s="38">
        <v>57754</v>
      </c>
      <c r="D143" s="25">
        <f>+C143+B143</f>
        <v>81180</v>
      </c>
      <c r="E143" s="38">
        <v>0</v>
      </c>
      <c r="F143" s="38">
        <v>58748</v>
      </c>
      <c r="G143" s="25">
        <f>+F143+E143</f>
        <v>58748</v>
      </c>
      <c r="H143" s="9">
        <f>+G143-D143</f>
        <v>-22432</v>
      </c>
    </row>
    <row r="144" spans="1:8" x14ac:dyDescent="0.55000000000000004">
      <c r="A144" s="3" t="s">
        <v>46</v>
      </c>
      <c r="B144" s="4">
        <f t="shared" ref="B144:H144" si="17">SUM(B139:B143)</f>
        <v>240982</v>
      </c>
      <c r="C144" s="4">
        <f t="shared" si="17"/>
        <v>334994</v>
      </c>
      <c r="D144" s="26">
        <f t="shared" si="17"/>
        <v>575976</v>
      </c>
      <c r="E144" s="4">
        <f t="shared" si="17"/>
        <v>19146</v>
      </c>
      <c r="F144" s="4">
        <f t="shared" si="17"/>
        <v>361150</v>
      </c>
      <c r="G144" s="26">
        <f t="shared" si="17"/>
        <v>380296</v>
      </c>
      <c r="H144" s="4">
        <f t="shared" si="17"/>
        <v>-195680</v>
      </c>
    </row>
    <row r="146" spans="1:8" x14ac:dyDescent="0.55000000000000004">
      <c r="A146" s="22">
        <v>46203</v>
      </c>
      <c r="B146" s="23" t="s">
        <v>11</v>
      </c>
      <c r="C146" s="23" t="s">
        <v>39</v>
      </c>
      <c r="D146" s="23" t="s">
        <v>40</v>
      </c>
      <c r="E146" s="23" t="s">
        <v>41</v>
      </c>
      <c r="F146" s="23" t="s">
        <v>42</v>
      </c>
      <c r="G146" s="23" t="s">
        <v>40</v>
      </c>
      <c r="H146" s="23" t="s">
        <v>43</v>
      </c>
    </row>
    <row r="147" spans="1:8" x14ac:dyDescent="0.55000000000000004">
      <c r="A147" t="s">
        <v>2</v>
      </c>
      <c r="B147" s="2">
        <v>39544</v>
      </c>
      <c r="C147" s="2">
        <f>22855+84118</f>
        <v>106973</v>
      </c>
      <c r="D147" s="24">
        <f>+C147+B147</f>
        <v>146517</v>
      </c>
      <c r="E147" s="2">
        <f>1997+11007</f>
        <v>13004</v>
      </c>
      <c r="F147" s="2">
        <v>71340</v>
      </c>
      <c r="G147" s="24">
        <f>+F147+E147</f>
        <v>84344</v>
      </c>
      <c r="H147" s="2">
        <f>+G147-D147</f>
        <v>-62173</v>
      </c>
    </row>
    <row r="148" spans="1:8" x14ac:dyDescent="0.55000000000000004">
      <c r="A148" t="s">
        <v>44</v>
      </c>
      <c r="B148" s="21">
        <v>55911</v>
      </c>
      <c r="C148" s="21">
        <v>186563</v>
      </c>
      <c r="D148" s="24">
        <f>+C148+B148</f>
        <v>242474</v>
      </c>
      <c r="E148" s="21">
        <v>0</v>
      </c>
      <c r="F148" s="21">
        <v>98165</v>
      </c>
      <c r="G148" s="24">
        <f>+F148+E148</f>
        <v>98165</v>
      </c>
      <c r="H148" s="2">
        <f>+G148-D148</f>
        <v>-144309</v>
      </c>
    </row>
    <row r="149" spans="1:8" x14ac:dyDescent="0.55000000000000004">
      <c r="A149" t="s">
        <v>6</v>
      </c>
      <c r="B149" s="2">
        <v>20935</v>
      </c>
      <c r="C149" s="2">
        <v>55908</v>
      </c>
      <c r="D149" s="24">
        <f>+C149+B149</f>
        <v>76843</v>
      </c>
      <c r="E149" s="2">
        <v>9227</v>
      </c>
      <c r="F149" s="2">
        <v>31067</v>
      </c>
      <c r="G149" s="24">
        <f>+F149+E149</f>
        <v>40294</v>
      </c>
      <c r="H149" s="2">
        <f>+G149-D149</f>
        <v>-36549</v>
      </c>
    </row>
    <row r="150" spans="1:8" x14ac:dyDescent="0.55000000000000004">
      <c r="A150" t="s">
        <v>8</v>
      </c>
      <c r="B150" s="21">
        <v>78213</v>
      </c>
      <c r="C150" s="21">
        <v>44775</v>
      </c>
      <c r="D150" s="24">
        <f>+C150+B150</f>
        <v>122988</v>
      </c>
      <c r="E150" s="21">
        <v>0</v>
      </c>
      <c r="F150" s="21">
        <v>128894</v>
      </c>
      <c r="G150" s="24">
        <f>+F150+E150</f>
        <v>128894</v>
      </c>
      <c r="H150" s="2">
        <f>+G150-D150</f>
        <v>5906</v>
      </c>
    </row>
    <row r="151" spans="1:8" x14ac:dyDescent="0.55000000000000004">
      <c r="A151" s="5" t="s">
        <v>139</v>
      </c>
      <c r="B151" s="38">
        <v>15462</v>
      </c>
      <c r="C151" s="38">
        <v>74798</v>
      </c>
      <c r="D151" s="25">
        <f>+C151+B151</f>
        <v>90260</v>
      </c>
      <c r="E151" s="38">
        <v>0</v>
      </c>
      <c r="F151" s="38">
        <v>83664</v>
      </c>
      <c r="G151" s="25">
        <f>+F151+E151</f>
        <v>83664</v>
      </c>
      <c r="H151" s="9">
        <f>+G151-D151</f>
        <v>-6596</v>
      </c>
    </row>
    <row r="152" spans="1:8" x14ac:dyDescent="0.55000000000000004">
      <c r="A152" s="3" t="s">
        <v>46</v>
      </c>
      <c r="B152" s="4">
        <f t="shared" ref="B152:H152" si="18">SUM(B147:B151)</f>
        <v>210065</v>
      </c>
      <c r="C152" s="4">
        <f t="shared" si="18"/>
        <v>469017</v>
      </c>
      <c r="D152" s="26">
        <f t="shared" si="18"/>
        <v>679082</v>
      </c>
      <c r="E152" s="4">
        <f t="shared" si="18"/>
        <v>22231</v>
      </c>
      <c r="F152" s="4">
        <f t="shared" si="18"/>
        <v>413130</v>
      </c>
      <c r="G152" s="26">
        <f t="shared" si="18"/>
        <v>435361</v>
      </c>
      <c r="H152" s="4">
        <f t="shared" si="18"/>
        <v>-243721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9158-403D-4EB9-AB3F-3145645913B4}">
  <dimension ref="A1:E44"/>
  <sheetViews>
    <sheetView topLeftCell="A40" workbookViewId="0">
      <selection activeCell="D53" sqref="D53"/>
    </sheetView>
  </sheetViews>
  <sheetFormatPr defaultRowHeight="14.4" x14ac:dyDescent="0.55000000000000004"/>
  <cols>
    <col min="1" max="1" width="11.7890625" customWidth="1"/>
    <col min="2" max="2" width="9.7890625" bestFit="1" customWidth="1"/>
  </cols>
  <sheetData>
    <row r="1" spans="1:5" x14ac:dyDescent="0.55000000000000004">
      <c r="A1" s="246" t="s">
        <v>76</v>
      </c>
      <c r="B1" s="246"/>
      <c r="C1" s="246"/>
      <c r="D1" s="246"/>
      <c r="E1" s="246"/>
    </row>
    <row r="2" spans="1:5" x14ac:dyDescent="0.55000000000000004">
      <c r="A2" s="1"/>
    </row>
    <row r="3" spans="1:5" x14ac:dyDescent="0.55000000000000004">
      <c r="A3" s="139" t="s">
        <v>77</v>
      </c>
      <c r="B3" s="139" t="s">
        <v>15</v>
      </c>
      <c r="C3" s="139" t="s">
        <v>16</v>
      </c>
      <c r="D3" s="139" t="s">
        <v>78</v>
      </c>
      <c r="E3" s="139" t="s">
        <v>40</v>
      </c>
    </row>
    <row r="4" spans="1:5" hidden="1" x14ac:dyDescent="0.55000000000000004">
      <c r="A4" s="1" t="s">
        <v>79</v>
      </c>
      <c r="B4" s="140">
        <v>42</v>
      </c>
      <c r="C4" s="141">
        <v>0</v>
      </c>
      <c r="D4" s="141">
        <v>0</v>
      </c>
      <c r="E4" s="142">
        <f t="shared" ref="E4:E14" si="0">+C4+B4+D4</f>
        <v>42</v>
      </c>
    </row>
    <row r="5" spans="1:5" hidden="1" x14ac:dyDescent="0.55000000000000004">
      <c r="A5" s="1" t="s">
        <v>80</v>
      </c>
      <c r="B5" s="140">
        <v>152</v>
      </c>
      <c r="C5" s="141">
        <v>0</v>
      </c>
      <c r="D5" s="141">
        <v>0</v>
      </c>
      <c r="E5" s="142">
        <f t="shared" si="0"/>
        <v>152</v>
      </c>
    </row>
    <row r="6" spans="1:5" hidden="1" x14ac:dyDescent="0.55000000000000004">
      <c r="A6" s="1" t="s">
        <v>81</v>
      </c>
      <c r="B6" s="143">
        <v>187</v>
      </c>
      <c r="C6" s="144">
        <v>0</v>
      </c>
      <c r="D6" s="144">
        <v>0</v>
      </c>
      <c r="E6" s="142">
        <f t="shared" si="0"/>
        <v>187</v>
      </c>
    </row>
    <row r="7" spans="1:5" hidden="1" x14ac:dyDescent="0.55000000000000004">
      <c r="A7" s="1" t="s">
        <v>82</v>
      </c>
      <c r="B7" s="143">
        <v>197</v>
      </c>
      <c r="C7" s="144">
        <v>0</v>
      </c>
      <c r="D7" s="144">
        <v>0</v>
      </c>
      <c r="E7" s="142">
        <f t="shared" si="0"/>
        <v>197</v>
      </c>
    </row>
    <row r="8" spans="1:5" hidden="1" x14ac:dyDescent="0.55000000000000004">
      <c r="A8" s="1" t="s">
        <v>83</v>
      </c>
      <c r="B8" s="143">
        <v>203.6</v>
      </c>
      <c r="C8" s="144">
        <v>0</v>
      </c>
      <c r="D8" s="144">
        <v>0</v>
      </c>
      <c r="E8" s="142">
        <f t="shared" si="0"/>
        <v>203.6</v>
      </c>
    </row>
    <row r="9" spans="1:5" hidden="1" x14ac:dyDescent="0.55000000000000004">
      <c r="A9" s="1" t="s">
        <v>84</v>
      </c>
      <c r="B9" s="143">
        <v>227.6</v>
      </c>
      <c r="C9">
        <v>21</v>
      </c>
      <c r="D9" s="144">
        <v>0</v>
      </c>
      <c r="E9" s="142">
        <f t="shared" si="0"/>
        <v>248.6</v>
      </c>
    </row>
    <row r="10" spans="1:5" hidden="1" x14ac:dyDescent="0.55000000000000004">
      <c r="A10" s="1" t="s">
        <v>85</v>
      </c>
      <c r="B10" s="143">
        <v>226.6</v>
      </c>
      <c r="C10">
        <v>113</v>
      </c>
      <c r="D10" s="144">
        <v>0</v>
      </c>
      <c r="E10" s="142">
        <f t="shared" si="0"/>
        <v>339.6</v>
      </c>
    </row>
    <row r="11" spans="1:5" hidden="1" x14ac:dyDescent="0.55000000000000004">
      <c r="A11" s="1" t="s">
        <v>86</v>
      </c>
      <c r="B11" s="143">
        <v>169.6</v>
      </c>
      <c r="C11">
        <v>176</v>
      </c>
      <c r="D11" s="144">
        <v>0</v>
      </c>
      <c r="E11" s="142">
        <f t="shared" si="0"/>
        <v>345.6</v>
      </c>
    </row>
    <row r="12" spans="1:5" hidden="1" x14ac:dyDescent="0.55000000000000004">
      <c r="A12" s="1" t="s">
        <v>87</v>
      </c>
      <c r="B12" s="143">
        <v>181</v>
      </c>
      <c r="C12">
        <v>208</v>
      </c>
      <c r="D12" s="144">
        <v>0</v>
      </c>
      <c r="E12" s="142">
        <f t="shared" si="0"/>
        <v>389</v>
      </c>
    </row>
    <row r="13" spans="1:5" hidden="1" x14ac:dyDescent="0.55000000000000004">
      <c r="A13" s="158" t="s">
        <v>88</v>
      </c>
      <c r="B13" s="163">
        <v>204</v>
      </c>
      <c r="C13" s="160">
        <v>276</v>
      </c>
      <c r="D13" s="162">
        <v>15</v>
      </c>
      <c r="E13" s="161">
        <f t="shared" si="0"/>
        <v>495</v>
      </c>
    </row>
    <row r="14" spans="1:5" hidden="1" x14ac:dyDescent="0.55000000000000004">
      <c r="A14" s="1" t="s">
        <v>89</v>
      </c>
      <c r="B14" s="143">
        <v>261</v>
      </c>
      <c r="C14">
        <v>288</v>
      </c>
      <c r="D14" s="145">
        <v>54</v>
      </c>
      <c r="E14" s="142">
        <f t="shared" si="0"/>
        <v>603</v>
      </c>
    </row>
    <row r="15" spans="1:5" hidden="1" x14ac:dyDescent="0.55000000000000004">
      <c r="A15" s="1" t="s">
        <v>90</v>
      </c>
      <c r="B15" s="143">
        <v>216</v>
      </c>
      <c r="C15">
        <v>290</v>
      </c>
      <c r="D15" s="145">
        <v>41</v>
      </c>
      <c r="E15" s="142">
        <f>+C15+B15+D15</f>
        <v>547</v>
      </c>
    </row>
    <row r="16" spans="1:5" hidden="1" x14ac:dyDescent="0.55000000000000004">
      <c r="A16" s="1" t="s">
        <v>91</v>
      </c>
      <c r="B16" s="143">
        <v>126</v>
      </c>
      <c r="C16">
        <v>325</v>
      </c>
      <c r="D16" s="145">
        <v>34</v>
      </c>
      <c r="E16" s="142">
        <f>+C16+B16+D16</f>
        <v>485</v>
      </c>
    </row>
    <row r="17" spans="1:5" hidden="1" x14ac:dyDescent="0.55000000000000004">
      <c r="A17" s="158" t="s">
        <v>92</v>
      </c>
      <c r="B17" s="163">
        <v>187</v>
      </c>
      <c r="C17" s="160">
        <v>363</v>
      </c>
      <c r="D17" s="162">
        <v>18</v>
      </c>
      <c r="E17" s="161">
        <f t="shared" ref="E17:E32" si="1">+C17+B17+D17</f>
        <v>568</v>
      </c>
    </row>
    <row r="18" spans="1:5" hidden="1" x14ac:dyDescent="0.55000000000000004">
      <c r="A18" s="1" t="s">
        <v>93</v>
      </c>
      <c r="B18" s="143">
        <v>246</v>
      </c>
      <c r="C18">
        <v>315</v>
      </c>
      <c r="D18" s="145">
        <v>7</v>
      </c>
      <c r="E18" s="142">
        <f t="shared" si="1"/>
        <v>568</v>
      </c>
    </row>
    <row r="19" spans="1:5" hidden="1" x14ac:dyDescent="0.55000000000000004">
      <c r="A19" s="1" t="s">
        <v>94</v>
      </c>
      <c r="B19" s="146">
        <v>278</v>
      </c>
      <c r="C19">
        <v>300</v>
      </c>
      <c r="D19" s="145">
        <v>5</v>
      </c>
      <c r="E19" s="142">
        <f t="shared" si="1"/>
        <v>583</v>
      </c>
    </row>
    <row r="20" spans="1:5" hidden="1" x14ac:dyDescent="0.55000000000000004">
      <c r="A20" s="1" t="s">
        <v>95</v>
      </c>
      <c r="B20" s="146">
        <v>280</v>
      </c>
      <c r="C20">
        <v>265</v>
      </c>
      <c r="D20" s="145">
        <v>6</v>
      </c>
      <c r="E20" s="142">
        <f t="shared" si="1"/>
        <v>551</v>
      </c>
    </row>
    <row r="21" spans="1:5" hidden="1" x14ac:dyDescent="0.55000000000000004">
      <c r="A21" s="158" t="s">
        <v>96</v>
      </c>
      <c r="B21" s="159">
        <v>285</v>
      </c>
      <c r="C21" s="160">
        <v>244</v>
      </c>
      <c r="D21" s="162">
        <v>1</v>
      </c>
      <c r="E21" s="161">
        <f t="shared" si="1"/>
        <v>530</v>
      </c>
    </row>
    <row r="22" spans="1:5" hidden="1" x14ac:dyDescent="0.55000000000000004">
      <c r="A22" s="1" t="s">
        <v>97</v>
      </c>
      <c r="B22" s="146">
        <v>312</v>
      </c>
      <c r="C22">
        <v>380</v>
      </c>
      <c r="D22" s="145">
        <v>5</v>
      </c>
      <c r="E22" s="142">
        <f t="shared" si="1"/>
        <v>697</v>
      </c>
    </row>
    <row r="23" spans="1:5" hidden="1" x14ac:dyDescent="0.55000000000000004">
      <c r="A23" s="1" t="s">
        <v>98</v>
      </c>
      <c r="B23" s="146">
        <v>318</v>
      </c>
      <c r="C23">
        <v>373</v>
      </c>
      <c r="D23" s="145">
        <v>11</v>
      </c>
      <c r="E23" s="142">
        <f t="shared" si="1"/>
        <v>702</v>
      </c>
    </row>
    <row r="24" spans="1:5" hidden="1" x14ac:dyDescent="0.55000000000000004">
      <c r="A24" s="1" t="s">
        <v>99</v>
      </c>
      <c r="B24" s="146">
        <v>317</v>
      </c>
      <c r="C24">
        <v>344</v>
      </c>
      <c r="D24" s="145">
        <v>34</v>
      </c>
      <c r="E24" s="142">
        <f t="shared" si="1"/>
        <v>695</v>
      </c>
    </row>
    <row r="25" spans="1:5" x14ac:dyDescent="0.55000000000000004">
      <c r="A25" s="1" t="s">
        <v>100</v>
      </c>
      <c r="B25" s="146">
        <v>333</v>
      </c>
      <c r="C25">
        <v>396</v>
      </c>
      <c r="D25" s="174">
        <v>5</v>
      </c>
      <c r="E25" s="142">
        <f t="shared" si="1"/>
        <v>734</v>
      </c>
    </row>
    <row r="26" spans="1:5" x14ac:dyDescent="0.55000000000000004">
      <c r="A26" s="1" t="s">
        <v>101</v>
      </c>
      <c r="B26" s="146">
        <v>365</v>
      </c>
      <c r="C26">
        <v>615</v>
      </c>
      <c r="D26" s="145">
        <v>4</v>
      </c>
      <c r="E26" s="142">
        <f t="shared" si="1"/>
        <v>984</v>
      </c>
    </row>
    <row r="27" spans="1:5" x14ac:dyDescent="0.55000000000000004">
      <c r="A27" s="1" t="s">
        <v>102</v>
      </c>
      <c r="B27" s="146">
        <v>355</v>
      </c>
      <c r="C27">
        <v>685</v>
      </c>
      <c r="D27" s="145">
        <v>8</v>
      </c>
      <c r="E27" s="142">
        <f t="shared" si="1"/>
        <v>1048</v>
      </c>
    </row>
    <row r="28" spans="1:5" x14ac:dyDescent="0.55000000000000004">
      <c r="A28" s="214" t="s">
        <v>103</v>
      </c>
      <c r="B28" s="215">
        <v>316</v>
      </c>
      <c r="C28" s="216">
        <v>647</v>
      </c>
      <c r="D28" s="219">
        <v>16</v>
      </c>
      <c r="E28" s="217">
        <f t="shared" si="1"/>
        <v>979</v>
      </c>
    </row>
    <row r="29" spans="1:5" x14ac:dyDescent="0.55000000000000004">
      <c r="A29" s="1" t="s">
        <v>104</v>
      </c>
      <c r="B29" s="146">
        <v>294</v>
      </c>
      <c r="C29">
        <v>593</v>
      </c>
      <c r="D29" s="174">
        <v>24.1</v>
      </c>
      <c r="E29" s="142">
        <f t="shared" si="1"/>
        <v>911.1</v>
      </c>
    </row>
    <row r="30" spans="1:5" x14ac:dyDescent="0.55000000000000004">
      <c r="A30" s="1" t="s">
        <v>105</v>
      </c>
      <c r="B30" s="146">
        <v>310</v>
      </c>
      <c r="C30">
        <v>544</v>
      </c>
      <c r="D30" s="178">
        <v>34</v>
      </c>
      <c r="E30" s="142">
        <f t="shared" si="1"/>
        <v>888</v>
      </c>
    </row>
    <row r="31" spans="1:5" x14ac:dyDescent="0.55000000000000004">
      <c r="A31" s="1" t="s">
        <v>106</v>
      </c>
      <c r="B31" s="146">
        <v>289</v>
      </c>
      <c r="C31">
        <v>483</v>
      </c>
      <c r="D31" s="147">
        <v>29.3</v>
      </c>
      <c r="E31" s="142">
        <f t="shared" si="1"/>
        <v>801.3</v>
      </c>
    </row>
    <row r="32" spans="1:5" x14ac:dyDescent="0.55000000000000004">
      <c r="A32" s="214" t="s">
        <v>107</v>
      </c>
      <c r="B32" s="215">
        <v>322</v>
      </c>
      <c r="C32" s="216">
        <v>552</v>
      </c>
      <c r="D32" s="218">
        <v>33</v>
      </c>
      <c r="E32" s="217">
        <f t="shared" si="1"/>
        <v>907</v>
      </c>
    </row>
    <row r="33" spans="1:5" x14ac:dyDescent="0.55000000000000004">
      <c r="A33" s="1" t="s">
        <v>130</v>
      </c>
      <c r="B33" s="146">
        <v>318</v>
      </c>
      <c r="C33">
        <v>540</v>
      </c>
      <c r="D33" s="174">
        <v>36</v>
      </c>
      <c r="E33" s="142">
        <f t="shared" ref="E33:E38" si="2">+C33+B33+D33</f>
        <v>894</v>
      </c>
    </row>
    <row r="34" spans="1:5" x14ac:dyDescent="0.55000000000000004">
      <c r="A34" s="1" t="s">
        <v>147</v>
      </c>
      <c r="B34" s="146">
        <v>307</v>
      </c>
      <c r="C34">
        <v>522</v>
      </c>
      <c r="D34" s="178">
        <v>40</v>
      </c>
      <c r="E34" s="142">
        <f t="shared" si="2"/>
        <v>869</v>
      </c>
    </row>
    <row r="35" spans="1:5" x14ac:dyDescent="0.55000000000000004">
      <c r="A35" s="1" t="s">
        <v>144</v>
      </c>
      <c r="B35" s="146">
        <v>323</v>
      </c>
      <c r="C35">
        <v>507</v>
      </c>
      <c r="D35" s="147">
        <v>49</v>
      </c>
      <c r="E35" s="142">
        <f t="shared" si="2"/>
        <v>879</v>
      </c>
    </row>
    <row r="36" spans="1:5" x14ac:dyDescent="0.55000000000000004">
      <c r="A36" s="214" t="s">
        <v>146</v>
      </c>
      <c r="B36" s="215">
        <v>378</v>
      </c>
      <c r="C36" s="216">
        <v>491</v>
      </c>
      <c r="D36" s="226">
        <v>38</v>
      </c>
      <c r="E36" s="217">
        <f t="shared" si="2"/>
        <v>907</v>
      </c>
    </row>
    <row r="37" spans="1:5" x14ac:dyDescent="0.55000000000000004">
      <c r="A37" s="1" t="s">
        <v>166</v>
      </c>
      <c r="B37" s="146">
        <v>414</v>
      </c>
      <c r="C37">
        <v>482</v>
      </c>
      <c r="D37" s="178">
        <v>38</v>
      </c>
      <c r="E37" s="142">
        <f t="shared" si="2"/>
        <v>934</v>
      </c>
    </row>
    <row r="38" spans="1:5" x14ac:dyDescent="0.55000000000000004">
      <c r="A38" s="1" t="s">
        <v>237</v>
      </c>
      <c r="B38" s="146">
        <v>364</v>
      </c>
      <c r="C38">
        <v>428</v>
      </c>
      <c r="D38" s="178">
        <v>38</v>
      </c>
      <c r="E38" s="142">
        <f t="shared" si="2"/>
        <v>830</v>
      </c>
    </row>
    <row r="39" spans="1:5" x14ac:dyDescent="0.55000000000000004">
      <c r="A39" s="1" t="s">
        <v>236</v>
      </c>
      <c r="B39" s="146">
        <v>435</v>
      </c>
      <c r="C39">
        <v>368</v>
      </c>
      <c r="D39" s="147">
        <v>51</v>
      </c>
      <c r="E39" s="142">
        <f t="shared" ref="E39:E40" si="3">+C39+B39+D39</f>
        <v>854</v>
      </c>
    </row>
    <row r="40" spans="1:5" x14ac:dyDescent="0.55000000000000004">
      <c r="A40" s="214" t="s">
        <v>241</v>
      </c>
      <c r="B40" s="215">
        <v>448</v>
      </c>
      <c r="C40" s="216">
        <v>406</v>
      </c>
      <c r="D40" s="226">
        <v>50</v>
      </c>
      <c r="E40" s="217">
        <f t="shared" si="3"/>
        <v>904</v>
      </c>
    </row>
    <row r="41" spans="1:5" x14ac:dyDescent="0.55000000000000004">
      <c r="A41" s="43" t="s">
        <v>108</v>
      </c>
      <c r="B41" s="148">
        <f>SUM(B3:B40)</f>
        <v>10187.4</v>
      </c>
      <c r="C41" s="148">
        <f t="shared" ref="C41:D41" si="4">SUM(C3:C40)</f>
        <v>12540</v>
      </c>
      <c r="D41" s="148">
        <f t="shared" si="4"/>
        <v>724.40000000000009</v>
      </c>
      <c r="E41" s="148">
        <f>+D41+C41+B41</f>
        <v>23451.8</v>
      </c>
    </row>
    <row r="43" spans="1:5" x14ac:dyDescent="0.55000000000000004">
      <c r="A43" s="3" t="s">
        <v>238</v>
      </c>
      <c r="B43" s="148">
        <v>59443</v>
      </c>
      <c r="C43" s="148">
        <v>58981</v>
      </c>
      <c r="D43" s="148">
        <v>10046</v>
      </c>
    </row>
    <row r="44" spans="1:5" x14ac:dyDescent="0.55000000000000004">
      <c r="A44" s="3" t="s">
        <v>239</v>
      </c>
      <c r="B44" s="229">
        <f>+(B41/2)/B43</f>
        <v>8.5690493413858648E-2</v>
      </c>
      <c r="C44" s="229">
        <f t="shared" ref="C44:D44" si="5">+(C41/2)/C43</f>
        <v>0.10630542038961699</v>
      </c>
      <c r="D44" s="229">
        <f t="shared" si="5"/>
        <v>3.6054150905833172E-2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F233-2D25-4AC3-9126-1827CBD4BA81}">
  <dimension ref="A1:U29"/>
  <sheetViews>
    <sheetView workbookViewId="0"/>
  </sheetViews>
  <sheetFormatPr defaultRowHeight="14.4" x14ac:dyDescent="0.55000000000000004"/>
  <cols>
    <col min="1" max="1" width="29.41796875" customWidth="1"/>
    <col min="2" max="9" width="8.83984375" customWidth="1"/>
    <col min="10" max="10" width="9.7890625" customWidth="1"/>
    <col min="11" max="13" width="8.83984375" customWidth="1"/>
    <col min="17" max="19" width="9.7890625" bestFit="1" customWidth="1"/>
    <col min="22" max="22" width="9.7890625" bestFit="1" customWidth="1"/>
  </cols>
  <sheetData>
    <row r="1" spans="1:21" x14ac:dyDescent="0.55000000000000004">
      <c r="A1" s="3" t="s">
        <v>109</v>
      </c>
    </row>
    <row r="2" spans="1:21" x14ac:dyDescent="0.55000000000000004">
      <c r="E2" s="149"/>
    </row>
    <row r="3" spans="1:21" x14ac:dyDescent="0.55000000000000004">
      <c r="A3" s="150" t="s">
        <v>110</v>
      </c>
      <c r="B3" s="247">
        <v>2021</v>
      </c>
      <c r="C3" s="247"/>
      <c r="D3" s="247"/>
      <c r="E3" s="247"/>
      <c r="F3" s="247">
        <v>2022</v>
      </c>
      <c r="G3" s="247"/>
      <c r="H3" s="247"/>
      <c r="I3" s="247"/>
      <c r="J3" s="247">
        <v>2023</v>
      </c>
      <c r="K3" s="247"/>
      <c r="L3" s="247"/>
      <c r="M3" s="247"/>
      <c r="N3" s="247">
        <v>2024</v>
      </c>
      <c r="O3" s="247"/>
      <c r="P3" s="247"/>
      <c r="Q3" s="247"/>
      <c r="R3" s="248">
        <v>2025</v>
      </c>
      <c r="S3" s="249"/>
      <c r="T3" s="249"/>
      <c r="U3" s="250"/>
    </row>
    <row r="4" spans="1:21" x14ac:dyDescent="0.55000000000000004">
      <c r="A4" s="151" t="s">
        <v>111</v>
      </c>
      <c r="B4" s="151" t="s">
        <v>112</v>
      </c>
      <c r="C4" s="151" t="s">
        <v>113</v>
      </c>
      <c r="D4" s="151" t="s">
        <v>114</v>
      </c>
      <c r="E4" s="151" t="s">
        <v>115</v>
      </c>
      <c r="F4" s="151" t="s">
        <v>112</v>
      </c>
      <c r="G4" s="151" t="s">
        <v>113</v>
      </c>
      <c r="H4" s="151" t="s">
        <v>114</v>
      </c>
      <c r="I4" s="151" t="s">
        <v>115</v>
      </c>
      <c r="J4" s="151" t="s">
        <v>112</v>
      </c>
      <c r="K4" s="151" t="s">
        <v>113</v>
      </c>
      <c r="L4" s="151" t="s">
        <v>114</v>
      </c>
      <c r="M4" s="151" t="s">
        <v>115</v>
      </c>
      <c r="N4" s="151" t="s">
        <v>112</v>
      </c>
      <c r="O4" s="151" t="s">
        <v>113</v>
      </c>
      <c r="P4" s="151" t="s">
        <v>114</v>
      </c>
      <c r="Q4" s="151" t="s">
        <v>115</v>
      </c>
      <c r="R4" s="151" t="s">
        <v>112</v>
      </c>
      <c r="S4" s="151" t="s">
        <v>113</v>
      </c>
      <c r="T4" s="151" t="s">
        <v>114</v>
      </c>
      <c r="U4" s="151" t="s">
        <v>115</v>
      </c>
    </row>
    <row r="5" spans="1:21" ht="40.799999999999997" customHeight="1" x14ac:dyDescent="0.55000000000000004">
      <c r="A5" s="152" t="s">
        <v>116</v>
      </c>
      <c r="B5" s="164">
        <v>74913</v>
      </c>
      <c r="C5" s="164">
        <v>75118</v>
      </c>
      <c r="D5" s="177">
        <v>75388</v>
      </c>
      <c r="E5" s="164">
        <v>75712</v>
      </c>
      <c r="F5" s="164">
        <v>75422</v>
      </c>
      <c r="G5" s="164">
        <v>75197</v>
      </c>
      <c r="H5" s="164">
        <v>74997</v>
      </c>
      <c r="I5" s="164">
        <v>74857</v>
      </c>
      <c r="J5" s="164">
        <v>74611</v>
      </c>
      <c r="K5" s="164">
        <v>74465</v>
      </c>
      <c r="L5" s="164">
        <v>74407</v>
      </c>
      <c r="M5" s="164">
        <v>74720</v>
      </c>
      <c r="N5" s="164">
        <v>74561</v>
      </c>
      <c r="O5" s="164">
        <v>74551</v>
      </c>
      <c r="P5" s="164">
        <v>74624</v>
      </c>
      <c r="Q5" s="164">
        <v>74772</v>
      </c>
      <c r="R5" s="164">
        <v>74406</v>
      </c>
      <c r="S5" s="164">
        <v>74359</v>
      </c>
      <c r="T5" s="164">
        <v>74364</v>
      </c>
      <c r="U5" s="164">
        <v>74924</v>
      </c>
    </row>
    <row r="6" spans="1:21" ht="20.5" customHeight="1" x14ac:dyDescent="0.55000000000000004">
      <c r="A6" t="s">
        <v>117</v>
      </c>
      <c r="B6" s="145">
        <v>3103</v>
      </c>
      <c r="C6" s="145">
        <v>3383</v>
      </c>
      <c r="D6" s="145">
        <v>3668</v>
      </c>
      <c r="E6" s="145">
        <v>3980</v>
      </c>
      <c r="F6" s="145">
        <v>4298</v>
      </c>
      <c r="G6" s="145">
        <v>4615</v>
      </c>
      <c r="H6" s="145">
        <v>4948</v>
      </c>
      <c r="I6" s="145">
        <v>5313</v>
      </c>
      <c r="J6" s="145">
        <v>5668</v>
      </c>
      <c r="K6" s="145">
        <v>5984</v>
      </c>
      <c r="L6" s="145">
        <v>6278</v>
      </c>
      <c r="M6" s="145">
        <v>6588</v>
      </c>
      <c r="N6" s="145">
        <v>6877</v>
      </c>
      <c r="O6" s="145">
        <v>7199</v>
      </c>
      <c r="P6" s="145">
        <v>7519</v>
      </c>
      <c r="Q6" s="145">
        <v>7826</v>
      </c>
      <c r="R6" s="145">
        <v>8148</v>
      </c>
      <c r="S6" s="145">
        <v>8527</v>
      </c>
      <c r="T6" s="145">
        <v>8941</v>
      </c>
      <c r="U6" s="145">
        <v>9305</v>
      </c>
    </row>
    <row r="7" spans="1:21" ht="19" customHeight="1" x14ac:dyDescent="0.55000000000000004">
      <c r="A7" s="5" t="s">
        <v>118</v>
      </c>
      <c r="B7" s="165">
        <v>2675</v>
      </c>
      <c r="C7" s="165">
        <v>2940</v>
      </c>
      <c r="D7" s="165">
        <v>3184</v>
      </c>
      <c r="E7" s="165">
        <v>3654</v>
      </c>
      <c r="F7" s="165">
        <v>3937</v>
      </c>
      <c r="G7" s="165">
        <v>4281</v>
      </c>
      <c r="H7" s="165">
        <v>4677</v>
      </c>
      <c r="I7" s="165">
        <v>5292</v>
      </c>
      <c r="J7" s="165">
        <v>5977</v>
      </c>
      <c r="K7" s="165">
        <v>6624</v>
      </c>
      <c r="L7" s="165">
        <v>7217</v>
      </c>
      <c r="M7" s="165">
        <v>7761</v>
      </c>
      <c r="N7" s="165">
        <v>8244</v>
      </c>
      <c r="O7" s="165">
        <v>8796</v>
      </c>
      <c r="P7" s="165">
        <v>9336</v>
      </c>
      <c r="Q7" s="165">
        <v>9858</v>
      </c>
      <c r="R7" s="165">
        <v>10365</v>
      </c>
      <c r="S7" s="165">
        <v>10856</v>
      </c>
      <c r="T7" s="165">
        <v>11338</v>
      </c>
      <c r="U7" s="165">
        <v>11766</v>
      </c>
    </row>
    <row r="8" spans="1:21" ht="40.799999999999997" customHeight="1" x14ac:dyDescent="0.55000000000000004">
      <c r="A8" s="154" t="s">
        <v>119</v>
      </c>
      <c r="B8" s="181">
        <f>+B5+B6+B7</f>
        <v>80691</v>
      </c>
      <c r="C8" s="181">
        <f t="shared" ref="C8:O8" si="0">+C5+C6+C7</f>
        <v>81441</v>
      </c>
      <c r="D8" s="181">
        <f t="shared" si="0"/>
        <v>82240</v>
      </c>
      <c r="E8" s="181">
        <f t="shared" si="0"/>
        <v>83346</v>
      </c>
      <c r="F8" s="181">
        <f t="shared" si="0"/>
        <v>83657</v>
      </c>
      <c r="G8" s="181">
        <f t="shared" si="0"/>
        <v>84093</v>
      </c>
      <c r="H8" s="181">
        <f t="shared" si="0"/>
        <v>84622</v>
      </c>
      <c r="I8" s="181">
        <f t="shared" si="0"/>
        <v>85462</v>
      </c>
      <c r="J8" s="181">
        <f t="shared" si="0"/>
        <v>86256</v>
      </c>
      <c r="K8" s="181">
        <f t="shared" si="0"/>
        <v>87073</v>
      </c>
      <c r="L8" s="181">
        <f t="shared" si="0"/>
        <v>87902</v>
      </c>
      <c r="M8" s="181">
        <f t="shared" si="0"/>
        <v>89069</v>
      </c>
      <c r="N8" s="181">
        <f t="shared" si="0"/>
        <v>89682</v>
      </c>
      <c r="O8" s="181">
        <f t="shared" si="0"/>
        <v>90546</v>
      </c>
      <c r="P8" s="181">
        <f t="shared" ref="P8:U8" si="1">+P5+P6+P7</f>
        <v>91479</v>
      </c>
      <c r="Q8" s="181">
        <f t="shared" si="1"/>
        <v>92456</v>
      </c>
      <c r="R8" s="181">
        <f t="shared" si="1"/>
        <v>92919</v>
      </c>
      <c r="S8" s="181">
        <f t="shared" si="1"/>
        <v>93742</v>
      </c>
      <c r="T8" s="181">
        <f t="shared" si="1"/>
        <v>94643</v>
      </c>
      <c r="U8" s="181">
        <f t="shared" si="1"/>
        <v>95995</v>
      </c>
    </row>
    <row r="9" spans="1:21" x14ac:dyDescent="0.55000000000000004">
      <c r="A9" s="35" t="s">
        <v>120</v>
      </c>
      <c r="B9" s="35"/>
      <c r="C9" s="35"/>
      <c r="D9" s="35"/>
      <c r="E9" s="35"/>
      <c r="F9" s="166">
        <f>+F8/B8-1</f>
        <v>3.6757507033002401E-2</v>
      </c>
      <c r="G9" s="166">
        <f t="shared" ref="G9:U9" si="2">+G8/C8-1</f>
        <v>3.2563450841713637E-2</v>
      </c>
      <c r="H9" s="166">
        <f t="shared" si="2"/>
        <v>2.8964007782101175E-2</v>
      </c>
      <c r="I9" s="166">
        <f t="shared" si="2"/>
        <v>2.5388141002567588E-2</v>
      </c>
      <c r="J9" s="166">
        <f t="shared" si="2"/>
        <v>3.1067334472907326E-2</v>
      </c>
      <c r="K9" s="166">
        <f t="shared" si="2"/>
        <v>3.5436956702698197E-2</v>
      </c>
      <c r="L9" s="166">
        <f t="shared" si="2"/>
        <v>3.876060598898623E-2</v>
      </c>
      <c r="M9" s="166">
        <f t="shared" si="2"/>
        <v>4.2205892677447343E-2</v>
      </c>
      <c r="N9" s="166">
        <f t="shared" si="2"/>
        <v>3.9718976071229761E-2</v>
      </c>
      <c r="O9" s="166">
        <f t="shared" si="2"/>
        <v>3.9886072605744616E-2</v>
      </c>
      <c r="P9" s="166">
        <f t="shared" si="2"/>
        <v>4.0693044526859401E-2</v>
      </c>
      <c r="Q9" s="166">
        <f t="shared" si="2"/>
        <v>3.802669840236228E-2</v>
      </c>
      <c r="R9" s="166">
        <f t="shared" si="2"/>
        <v>3.6094199504917324E-2</v>
      </c>
      <c r="S9" s="166">
        <f t="shared" si="2"/>
        <v>3.5296976122633827E-2</v>
      </c>
      <c r="T9" s="166">
        <f t="shared" si="2"/>
        <v>3.4587173012385453E-2</v>
      </c>
      <c r="U9" s="166">
        <f t="shared" si="2"/>
        <v>3.8277667214675182E-2</v>
      </c>
    </row>
    <row r="11" spans="1:21" ht="34" customHeight="1" x14ac:dyDescent="0.55000000000000004">
      <c r="A11" s="155" t="s">
        <v>121</v>
      </c>
      <c r="B11" s="167">
        <v>16639</v>
      </c>
      <c r="C11" s="167">
        <v>16708</v>
      </c>
      <c r="D11" s="167">
        <v>16866</v>
      </c>
      <c r="E11" s="167">
        <v>17103</v>
      </c>
      <c r="F11" s="167">
        <v>17353</v>
      </c>
      <c r="G11" s="167">
        <v>17586</v>
      </c>
      <c r="H11" s="167">
        <v>17795</v>
      </c>
      <c r="I11" s="167">
        <v>17782</v>
      </c>
      <c r="J11" s="167">
        <v>17703</v>
      </c>
      <c r="K11" s="167">
        <v>17856</v>
      </c>
      <c r="L11" s="167">
        <v>18019</v>
      </c>
      <c r="M11" s="167">
        <v>18170</v>
      </c>
      <c r="N11" s="167">
        <v>18306</v>
      </c>
      <c r="O11" s="167">
        <v>18480</v>
      </c>
      <c r="P11" s="167">
        <v>18649</v>
      </c>
      <c r="Q11" s="167">
        <v>18745</v>
      </c>
      <c r="R11" s="167">
        <v>18808</v>
      </c>
      <c r="S11" s="167">
        <v>18848</v>
      </c>
      <c r="T11" s="167">
        <v>18882</v>
      </c>
      <c r="U11" s="167">
        <v>18944</v>
      </c>
    </row>
    <row r="12" spans="1:21" ht="39" customHeight="1" x14ac:dyDescent="0.55000000000000004">
      <c r="A12" s="154" t="s">
        <v>122</v>
      </c>
      <c r="B12" s="181">
        <f>+B8+B11</f>
        <v>97330</v>
      </c>
      <c r="C12" s="181">
        <f t="shared" ref="C12:O12" si="3">+C8+C11</f>
        <v>98149</v>
      </c>
      <c r="D12" s="181">
        <f t="shared" si="3"/>
        <v>99106</v>
      </c>
      <c r="E12" s="181">
        <f t="shared" si="3"/>
        <v>100449</v>
      </c>
      <c r="F12" s="181">
        <f t="shared" si="3"/>
        <v>101010</v>
      </c>
      <c r="G12" s="181">
        <f t="shared" si="3"/>
        <v>101679</v>
      </c>
      <c r="H12" s="181">
        <f t="shared" si="3"/>
        <v>102417</v>
      </c>
      <c r="I12" s="181">
        <f t="shared" si="3"/>
        <v>103244</v>
      </c>
      <c r="J12" s="181">
        <f t="shared" si="3"/>
        <v>103959</v>
      </c>
      <c r="K12" s="181">
        <f t="shared" si="3"/>
        <v>104929</v>
      </c>
      <c r="L12" s="181">
        <f t="shared" si="3"/>
        <v>105921</v>
      </c>
      <c r="M12" s="181">
        <f t="shared" si="3"/>
        <v>107239</v>
      </c>
      <c r="N12" s="181">
        <f t="shared" si="3"/>
        <v>107988</v>
      </c>
      <c r="O12" s="181">
        <f t="shared" si="3"/>
        <v>109026</v>
      </c>
      <c r="P12" s="181">
        <f t="shared" ref="P12:U12" si="4">+P8+P11</f>
        <v>110128</v>
      </c>
      <c r="Q12" s="181">
        <f t="shared" si="4"/>
        <v>111201</v>
      </c>
      <c r="R12" s="181">
        <f t="shared" si="4"/>
        <v>111727</v>
      </c>
      <c r="S12" s="181">
        <f t="shared" si="4"/>
        <v>112590</v>
      </c>
      <c r="T12" s="181">
        <f t="shared" si="4"/>
        <v>113525</v>
      </c>
      <c r="U12" s="181">
        <f t="shared" si="4"/>
        <v>114939</v>
      </c>
    </row>
    <row r="13" spans="1:21" x14ac:dyDescent="0.55000000000000004">
      <c r="A13" s="35" t="s">
        <v>120</v>
      </c>
      <c r="B13" s="35"/>
      <c r="C13" s="35"/>
      <c r="D13" s="35"/>
      <c r="E13" s="35"/>
      <c r="F13" s="166">
        <f>+F12/B12-1</f>
        <v>3.7809514024452984E-2</v>
      </c>
      <c r="G13" s="166">
        <f t="shared" ref="G13:U13" si="5">+G12/C12-1</f>
        <v>3.5965725580495045E-2</v>
      </c>
      <c r="H13" s="166">
        <f t="shared" si="5"/>
        <v>3.3408673541460709E-2</v>
      </c>
      <c r="I13" s="166">
        <f t="shared" si="5"/>
        <v>2.7825065456102083E-2</v>
      </c>
      <c r="J13" s="166">
        <f t="shared" si="5"/>
        <v>2.9195129195129121E-2</v>
      </c>
      <c r="K13" s="166">
        <f t="shared" si="5"/>
        <v>3.1963335595353914E-2</v>
      </c>
      <c r="L13" s="166">
        <f t="shared" si="5"/>
        <v>3.4213070095784781E-2</v>
      </c>
      <c r="M13" s="166">
        <f t="shared" si="5"/>
        <v>3.8694742551625305E-2</v>
      </c>
      <c r="N13" s="166">
        <f t="shared" si="5"/>
        <v>3.875566329033564E-2</v>
      </c>
      <c r="O13" s="166">
        <f t="shared" si="5"/>
        <v>3.9045449780327646E-2</v>
      </c>
      <c r="P13" s="166">
        <f t="shared" si="5"/>
        <v>3.971828060535687E-2</v>
      </c>
      <c r="Q13" s="166">
        <f t="shared" si="5"/>
        <v>3.6945514225235287E-2</v>
      </c>
      <c r="R13" s="166">
        <f t="shared" si="5"/>
        <v>3.4624217505648813E-2</v>
      </c>
      <c r="S13" s="166">
        <f t="shared" si="5"/>
        <v>3.2689450222882721E-2</v>
      </c>
      <c r="T13" s="166">
        <f t="shared" si="5"/>
        <v>3.0845924742118225E-2</v>
      </c>
      <c r="U13" s="166">
        <f t="shared" si="5"/>
        <v>3.3614805622251609E-2</v>
      </c>
    </row>
    <row r="15" spans="1:21" x14ac:dyDescent="0.55000000000000004">
      <c r="A15" t="s">
        <v>129</v>
      </c>
      <c r="B15" s="176">
        <v>4058</v>
      </c>
      <c r="C15" s="176">
        <v>4075</v>
      </c>
      <c r="D15" s="176">
        <v>4072</v>
      </c>
      <c r="E15" s="179">
        <v>23852</v>
      </c>
      <c r="F15" s="176">
        <v>23772</v>
      </c>
      <c r="G15" s="176">
        <v>23138</v>
      </c>
      <c r="H15" s="176">
        <v>23076</v>
      </c>
      <c r="I15" s="176">
        <v>22664</v>
      </c>
      <c r="J15" s="145">
        <v>19758</v>
      </c>
      <c r="K15" s="147">
        <v>19362</v>
      </c>
      <c r="L15" s="145">
        <v>19123</v>
      </c>
      <c r="M15" s="145">
        <v>18851</v>
      </c>
      <c r="N15" s="145">
        <v>18717</v>
      </c>
      <c r="O15" s="178">
        <v>18702</v>
      </c>
      <c r="P15" s="174">
        <v>18780</v>
      </c>
      <c r="Q15" s="174">
        <v>18843</v>
      </c>
      <c r="R15" s="174">
        <v>18977</v>
      </c>
      <c r="S15" s="174">
        <v>19017</v>
      </c>
      <c r="T15" s="174">
        <v>19062</v>
      </c>
      <c r="U15" s="174">
        <v>19169</v>
      </c>
    </row>
    <row r="16" spans="1:21" ht="14.7" thickBot="1" x14ac:dyDescent="0.6">
      <c r="A16" s="205"/>
      <c r="B16" s="205"/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</row>
    <row r="17" spans="1:21" x14ac:dyDescent="0.55000000000000004">
      <c r="B17" s="142">
        <f t="shared" ref="B17:H17" si="6">+B11+B5</f>
        <v>91552</v>
      </c>
      <c r="C17" s="142">
        <f t="shared" si="6"/>
        <v>91826</v>
      </c>
      <c r="D17" s="142">
        <f t="shared" si="6"/>
        <v>92254</v>
      </c>
      <c r="E17" s="142">
        <f t="shared" si="6"/>
        <v>92815</v>
      </c>
      <c r="F17" s="142">
        <f t="shared" si="6"/>
        <v>92775</v>
      </c>
      <c r="G17" s="142">
        <f t="shared" si="6"/>
        <v>92783</v>
      </c>
      <c r="H17" s="142">
        <f t="shared" si="6"/>
        <v>92792</v>
      </c>
      <c r="I17" s="142">
        <f>+I11+I5</f>
        <v>92639</v>
      </c>
      <c r="J17" s="142">
        <f t="shared" ref="J17:U17" si="7">+J11+J5</f>
        <v>92314</v>
      </c>
      <c r="K17" s="142">
        <f t="shared" si="7"/>
        <v>92321</v>
      </c>
      <c r="L17" s="142">
        <f t="shared" si="7"/>
        <v>92426</v>
      </c>
      <c r="M17" s="142">
        <f t="shared" si="7"/>
        <v>92890</v>
      </c>
      <c r="N17" s="142">
        <f t="shared" si="7"/>
        <v>92867</v>
      </c>
      <c r="O17" s="142">
        <f t="shared" si="7"/>
        <v>93031</v>
      </c>
      <c r="P17" s="142">
        <f t="shared" si="7"/>
        <v>93273</v>
      </c>
      <c r="Q17" s="142">
        <f t="shared" si="7"/>
        <v>93517</v>
      </c>
      <c r="R17" s="142">
        <f t="shared" si="7"/>
        <v>93214</v>
      </c>
      <c r="S17" s="142">
        <f t="shared" si="7"/>
        <v>93207</v>
      </c>
      <c r="T17" s="142">
        <f t="shared" si="7"/>
        <v>93246</v>
      </c>
      <c r="U17" s="142">
        <f t="shared" si="7"/>
        <v>93868</v>
      </c>
    </row>
    <row r="18" spans="1:21" x14ac:dyDescent="0.55000000000000004">
      <c r="A18" s="3" t="s">
        <v>123</v>
      </c>
    </row>
    <row r="19" spans="1:21" x14ac:dyDescent="0.55000000000000004">
      <c r="A19" s="3"/>
    </row>
    <row r="20" spans="1:21" x14ac:dyDescent="0.55000000000000004">
      <c r="A20" s="150" t="s">
        <v>110</v>
      </c>
      <c r="B20" s="247">
        <v>2021</v>
      </c>
      <c r="C20" s="247"/>
      <c r="D20" s="247"/>
      <c r="E20" s="247"/>
      <c r="F20" s="247">
        <v>2022</v>
      </c>
      <c r="G20" s="247"/>
      <c r="H20" s="247"/>
      <c r="I20" s="247"/>
      <c r="J20" s="247">
        <v>2023</v>
      </c>
      <c r="K20" s="247"/>
      <c r="L20" s="247"/>
      <c r="M20" s="247"/>
      <c r="N20" s="247">
        <v>2024</v>
      </c>
      <c r="O20" s="247"/>
      <c r="P20" s="247"/>
      <c r="Q20" s="247"/>
      <c r="R20" s="247">
        <v>2025</v>
      </c>
      <c r="S20" s="247"/>
      <c r="T20" s="247"/>
    </row>
    <row r="21" spans="1:21" x14ac:dyDescent="0.55000000000000004">
      <c r="A21" s="151" t="s">
        <v>111</v>
      </c>
      <c r="B21" s="151" t="s">
        <v>112</v>
      </c>
      <c r="C21" s="151" t="s">
        <v>113</v>
      </c>
      <c r="D21" s="151" t="s">
        <v>114</v>
      </c>
      <c r="E21" s="151" t="s">
        <v>115</v>
      </c>
      <c r="F21" s="151" t="s">
        <v>112</v>
      </c>
      <c r="G21" s="151" t="s">
        <v>113</v>
      </c>
      <c r="H21" s="151" t="s">
        <v>114</v>
      </c>
      <c r="I21" s="151" t="s">
        <v>115</v>
      </c>
      <c r="J21" s="151" t="s">
        <v>112</v>
      </c>
      <c r="K21" s="151" t="s">
        <v>113</v>
      </c>
      <c r="L21" s="151" t="s">
        <v>114</v>
      </c>
      <c r="M21" s="151" t="s">
        <v>115</v>
      </c>
      <c r="N21" s="151" t="s">
        <v>112</v>
      </c>
      <c r="O21" s="151" t="s">
        <v>113</v>
      </c>
      <c r="P21" s="151" t="s">
        <v>114</v>
      </c>
      <c r="Q21" s="151" t="s">
        <v>115</v>
      </c>
      <c r="R21" s="151" t="s">
        <v>112</v>
      </c>
      <c r="S21" s="151" t="s">
        <v>113</v>
      </c>
      <c r="T21" s="151" t="s">
        <v>114</v>
      </c>
    </row>
    <row r="22" spans="1:21" ht="34.299999999999997" customHeight="1" x14ac:dyDescent="0.55000000000000004">
      <c r="A22" s="152" t="s">
        <v>124</v>
      </c>
      <c r="B22" s="153">
        <v>28774</v>
      </c>
      <c r="C22" s="153">
        <v>29108</v>
      </c>
      <c r="D22" s="153">
        <v>29389</v>
      </c>
      <c r="E22" s="153">
        <v>29583</v>
      </c>
      <c r="F22" s="157">
        <v>29836</v>
      </c>
      <c r="G22" s="153">
        <v>29826</v>
      </c>
      <c r="H22" s="157">
        <v>29835</v>
      </c>
      <c r="I22" s="153">
        <v>29812</v>
      </c>
      <c r="J22" s="153">
        <v>29815</v>
      </c>
      <c r="K22" s="153">
        <v>29796</v>
      </c>
      <c r="L22" s="153">
        <v>29779</v>
      </c>
      <c r="M22" s="153">
        <v>29748</v>
      </c>
      <c r="N22" s="153">
        <v>29693</v>
      </c>
      <c r="O22" s="153">
        <v>29583</v>
      </c>
      <c r="P22" s="153">
        <v>29504</v>
      </c>
      <c r="Q22" s="153">
        <v>29373</v>
      </c>
      <c r="R22" s="153">
        <v>29190</v>
      </c>
      <c r="S22" s="153">
        <v>28989</v>
      </c>
      <c r="T22" s="153">
        <v>28897</v>
      </c>
    </row>
    <row r="23" spans="1:21" ht="34.299999999999997" customHeight="1" x14ac:dyDescent="0.55000000000000004">
      <c r="A23" s="152" t="s">
        <v>145</v>
      </c>
      <c r="B23" s="183">
        <v>5600</v>
      </c>
      <c r="C23" s="183">
        <v>5717</v>
      </c>
      <c r="D23" s="183">
        <v>5801</v>
      </c>
      <c r="E23" s="183">
        <v>5861</v>
      </c>
      <c r="F23" s="184">
        <v>6050</v>
      </c>
      <c r="G23" s="184">
        <v>6107</v>
      </c>
      <c r="H23" s="184">
        <v>6135</v>
      </c>
      <c r="I23" s="184">
        <v>6177</v>
      </c>
      <c r="J23" s="156">
        <v>6246</v>
      </c>
      <c r="K23" s="156">
        <v>6270</v>
      </c>
      <c r="L23" s="156">
        <v>6229</v>
      </c>
      <c r="M23" s="156">
        <v>6254</v>
      </c>
      <c r="N23" s="156">
        <v>6446</v>
      </c>
      <c r="O23" s="156">
        <v>6429</v>
      </c>
      <c r="P23" s="156">
        <v>6400</v>
      </c>
      <c r="Q23" s="156">
        <v>6384</v>
      </c>
      <c r="R23" s="156">
        <v>6558</v>
      </c>
      <c r="S23" s="156">
        <v>6530</v>
      </c>
      <c r="T23" s="156">
        <v>6433</v>
      </c>
    </row>
    <row r="25" spans="1:21" x14ac:dyDescent="0.55000000000000004">
      <c r="A25" t="s">
        <v>125</v>
      </c>
      <c r="F25" s="182">
        <f>+F22/B22-1</f>
        <v>3.6908320011121099E-2</v>
      </c>
      <c r="G25" s="182">
        <f t="shared" ref="G25:T26" si="8">+G22/C22-1</f>
        <v>2.4666758279510814E-2</v>
      </c>
      <c r="H25" s="182">
        <f t="shared" si="8"/>
        <v>1.517574602742533E-2</v>
      </c>
      <c r="I25" s="182">
        <f t="shared" si="8"/>
        <v>7.7409322921948576E-3</v>
      </c>
      <c r="J25" s="182">
        <f t="shared" si="8"/>
        <v>-7.038477007641486E-4</v>
      </c>
      <c r="K25" s="182">
        <f t="shared" si="8"/>
        <v>-1.0058338362503028E-3</v>
      </c>
      <c r="L25" s="182">
        <f t="shared" si="8"/>
        <v>-1.8769901122842603E-3</v>
      </c>
      <c r="M25" s="182">
        <f t="shared" si="8"/>
        <v>-2.1467865289145349E-3</v>
      </c>
      <c r="N25" s="182">
        <f t="shared" si="8"/>
        <v>-4.0919000503102376E-3</v>
      </c>
      <c r="O25" s="182">
        <f t="shared" si="8"/>
        <v>-7.1486105517518661E-3</v>
      </c>
      <c r="P25" s="182">
        <f t="shared" si="8"/>
        <v>-9.2346955908526596E-3</v>
      </c>
      <c r="Q25" s="182">
        <f t="shared" si="8"/>
        <v>-1.260588947156116E-2</v>
      </c>
      <c r="R25" s="182">
        <f t="shared" si="8"/>
        <v>-1.6940019533223327E-2</v>
      </c>
      <c r="S25" s="182">
        <f t="shared" si="8"/>
        <v>-2.0079099482811058E-2</v>
      </c>
      <c r="T25" s="182">
        <f t="shared" si="8"/>
        <v>-2.0573481561822149E-2</v>
      </c>
    </row>
    <row r="26" spans="1:21" x14ac:dyDescent="0.55000000000000004">
      <c r="A26" t="s">
        <v>126</v>
      </c>
      <c r="F26" s="182">
        <f>+F23/B23-1</f>
        <v>8.0357142857142794E-2</v>
      </c>
      <c r="G26" s="182">
        <f t="shared" si="8"/>
        <v>6.8217596641595213E-2</v>
      </c>
      <c r="H26" s="182">
        <f t="shared" si="8"/>
        <v>5.7576279951732534E-2</v>
      </c>
      <c r="I26" s="182">
        <f t="shared" si="8"/>
        <v>5.3915714041972373E-2</v>
      </c>
      <c r="J26" s="182">
        <f t="shared" si="8"/>
        <v>3.2396694214876121E-2</v>
      </c>
      <c r="K26" s="182">
        <f t="shared" si="8"/>
        <v>2.6690682822990031E-2</v>
      </c>
      <c r="L26" s="182">
        <f t="shared" si="8"/>
        <v>1.5321923390382963E-2</v>
      </c>
      <c r="M26" s="182">
        <f t="shared" si="8"/>
        <v>1.2465598186822024E-2</v>
      </c>
      <c r="N26" s="182">
        <f t="shared" si="8"/>
        <v>3.2020493115594073E-2</v>
      </c>
      <c r="O26" s="182">
        <f t="shared" si="8"/>
        <v>2.5358851674641247E-2</v>
      </c>
      <c r="P26" s="182">
        <f t="shared" si="8"/>
        <v>2.7452239524803357E-2</v>
      </c>
      <c r="Q26" s="182">
        <f t="shared" si="8"/>
        <v>2.0786696514230929E-2</v>
      </c>
      <c r="R26" s="182">
        <f t="shared" si="8"/>
        <v>1.7375116351225461E-2</v>
      </c>
      <c r="S26" s="182">
        <f t="shared" si="8"/>
        <v>1.5710063773526128E-2</v>
      </c>
      <c r="T26" s="182">
        <f t="shared" si="8"/>
        <v>5.1562499999999734E-3</v>
      </c>
    </row>
    <row r="28" spans="1:21" ht="28.8" x14ac:dyDescent="0.55000000000000004">
      <c r="A28" s="152" t="s">
        <v>127</v>
      </c>
      <c r="B28" s="153">
        <v>28508</v>
      </c>
    </row>
    <row r="29" spans="1:21" ht="33" customHeight="1" x14ac:dyDescent="0.55000000000000004">
      <c r="A29" s="152" t="s">
        <v>128</v>
      </c>
      <c r="B29" s="30">
        <v>4663</v>
      </c>
    </row>
  </sheetData>
  <mergeCells count="10">
    <mergeCell ref="R20:T20"/>
    <mergeCell ref="N3:Q3"/>
    <mergeCell ref="B3:E3"/>
    <mergeCell ref="F3:I3"/>
    <mergeCell ref="J3:M3"/>
    <mergeCell ref="B20:E20"/>
    <mergeCell ref="F20:I20"/>
    <mergeCell ref="J20:M20"/>
    <mergeCell ref="N20:Q20"/>
    <mergeCell ref="R3:U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2E20-EF5F-4C60-8D34-CA5D11C57C39}">
  <dimension ref="A4:E14"/>
  <sheetViews>
    <sheetView workbookViewId="0">
      <selection activeCell="A4" sqref="A4:E14"/>
    </sheetView>
  </sheetViews>
  <sheetFormatPr defaultRowHeight="14.4" x14ac:dyDescent="0.55000000000000004"/>
  <cols>
    <col min="1" max="1" width="14.83984375" customWidth="1"/>
    <col min="2" max="3" width="9.68359375" customWidth="1"/>
    <col min="4" max="4" width="12.578125" customWidth="1"/>
    <col min="5" max="5" width="14.578125" customWidth="1"/>
  </cols>
  <sheetData>
    <row r="4" spans="1:5" x14ac:dyDescent="0.55000000000000004">
      <c r="A4" s="172" t="s">
        <v>135</v>
      </c>
      <c r="B4" s="172" t="s">
        <v>1</v>
      </c>
      <c r="C4" s="172" t="s">
        <v>141</v>
      </c>
      <c r="D4" s="172" t="s">
        <v>137</v>
      </c>
      <c r="E4" s="172" t="s">
        <v>136</v>
      </c>
    </row>
    <row r="5" spans="1:5" x14ac:dyDescent="0.55000000000000004">
      <c r="A5" s="227" t="s">
        <v>12</v>
      </c>
      <c r="B5" s="227" t="s">
        <v>17</v>
      </c>
      <c r="C5" s="227" t="s">
        <v>142</v>
      </c>
      <c r="D5" s="228">
        <v>46225</v>
      </c>
      <c r="E5" s="227" t="s">
        <v>138</v>
      </c>
    </row>
    <row r="6" spans="1:5" x14ac:dyDescent="0.55000000000000004">
      <c r="A6" s="227" t="s">
        <v>240</v>
      </c>
      <c r="B6" s="227" t="s">
        <v>4</v>
      </c>
      <c r="C6" s="227" t="s">
        <v>142</v>
      </c>
      <c r="D6" s="228">
        <v>46225</v>
      </c>
      <c r="E6" s="227" t="s">
        <v>140</v>
      </c>
    </row>
    <row r="7" spans="1:5" x14ac:dyDescent="0.55000000000000004">
      <c r="A7" s="227" t="s">
        <v>15</v>
      </c>
      <c r="B7" s="227" t="s">
        <v>20</v>
      </c>
      <c r="C7" s="227" t="s">
        <v>143</v>
      </c>
      <c r="D7" s="228">
        <v>46226</v>
      </c>
      <c r="E7" s="227" t="s">
        <v>138</v>
      </c>
    </row>
    <row r="8" spans="1:5" x14ac:dyDescent="0.55000000000000004">
      <c r="A8" s="227" t="s">
        <v>14</v>
      </c>
      <c r="B8" s="227" t="s">
        <v>19</v>
      </c>
      <c r="C8" s="227" t="s">
        <v>143</v>
      </c>
      <c r="D8" s="228">
        <v>46226</v>
      </c>
      <c r="E8" s="227" t="s">
        <v>138</v>
      </c>
    </row>
    <row r="9" spans="1:5" x14ac:dyDescent="0.55000000000000004">
      <c r="A9" s="227" t="s">
        <v>16</v>
      </c>
      <c r="B9" s="227" t="s">
        <v>21</v>
      </c>
      <c r="C9" s="227" t="s">
        <v>165</v>
      </c>
      <c r="D9" s="228">
        <v>46227</v>
      </c>
      <c r="E9" s="227" t="s">
        <v>138</v>
      </c>
    </row>
    <row r="10" spans="1:5" x14ac:dyDescent="0.55000000000000004">
      <c r="A10" s="227" t="s">
        <v>13</v>
      </c>
      <c r="B10" s="227" t="s">
        <v>18</v>
      </c>
      <c r="C10" s="227" t="s">
        <v>165</v>
      </c>
      <c r="D10" s="228">
        <v>46227</v>
      </c>
      <c r="E10" s="227" t="s">
        <v>138</v>
      </c>
    </row>
    <row r="11" spans="1:5" x14ac:dyDescent="0.55000000000000004">
      <c r="A11" s="1" t="s">
        <v>6</v>
      </c>
      <c r="B11" s="1" t="s">
        <v>7</v>
      </c>
      <c r="C11" s="1" t="s">
        <v>142</v>
      </c>
      <c r="D11" s="173">
        <v>46232</v>
      </c>
      <c r="E11" s="1" t="s">
        <v>140</v>
      </c>
    </row>
    <row r="12" spans="1:5" x14ac:dyDescent="0.55000000000000004">
      <c r="A12" s="1" t="s">
        <v>139</v>
      </c>
      <c r="B12" s="1" t="s">
        <v>68</v>
      </c>
      <c r="C12" s="1" t="s">
        <v>142</v>
      </c>
      <c r="D12" s="173">
        <v>46232</v>
      </c>
      <c r="E12" s="1" t="s">
        <v>140</v>
      </c>
    </row>
    <row r="13" spans="1:5" x14ac:dyDescent="0.55000000000000004">
      <c r="A13" s="1" t="s">
        <v>8</v>
      </c>
      <c r="B13" s="1" t="s">
        <v>9</v>
      </c>
      <c r="C13" s="1" t="s">
        <v>143</v>
      </c>
      <c r="D13" s="173">
        <v>46233</v>
      </c>
      <c r="E13" s="1" t="s">
        <v>140</v>
      </c>
    </row>
    <row r="14" spans="1:5" x14ac:dyDescent="0.55000000000000004">
      <c r="A14" s="1" t="s">
        <v>2</v>
      </c>
      <c r="B14" s="1" t="s">
        <v>3</v>
      </c>
      <c r="C14" s="1" t="s">
        <v>143</v>
      </c>
      <c r="D14" s="173">
        <v>46233</v>
      </c>
      <c r="E14" s="1" t="s">
        <v>140</v>
      </c>
    </row>
  </sheetData>
  <sortState xmlns:xlrd2="http://schemas.microsoft.com/office/spreadsheetml/2017/richdata2" ref="A5:E10">
    <sortCondition ref="D5:D1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6B9A1-8EB5-46B1-91B6-D86DA8852FB5}">
  <dimension ref="A1:F57"/>
  <sheetViews>
    <sheetView workbookViewId="0">
      <selection activeCell="I19" sqref="I19"/>
    </sheetView>
  </sheetViews>
  <sheetFormatPr defaultRowHeight="14.4" x14ac:dyDescent="0.55000000000000004"/>
  <cols>
    <col min="1" max="1" width="53.578125" customWidth="1"/>
    <col min="2" max="2" width="17.83984375" customWidth="1"/>
    <col min="3" max="3" width="24.9453125" customWidth="1"/>
  </cols>
  <sheetData>
    <row r="1" spans="1:6" ht="15.3" x14ac:dyDescent="0.55000000000000004">
      <c r="A1" s="210" t="s">
        <v>171</v>
      </c>
      <c r="B1" s="210" t="s">
        <v>172</v>
      </c>
      <c r="C1" s="210" t="s">
        <v>173</v>
      </c>
      <c r="D1" s="210" t="s">
        <v>174</v>
      </c>
      <c r="E1" s="210" t="s">
        <v>175</v>
      </c>
      <c r="F1" s="210" t="s">
        <v>176</v>
      </c>
    </row>
    <row r="2" spans="1:6" ht="17.100000000000001" customHeight="1" x14ac:dyDescent="0.55000000000000004">
      <c r="A2" s="211" t="s">
        <v>177</v>
      </c>
      <c r="B2" s="212" t="s">
        <v>16</v>
      </c>
      <c r="C2" s="212" t="s">
        <v>12</v>
      </c>
      <c r="D2" s="213">
        <v>43.8</v>
      </c>
      <c r="E2" s="213">
        <v>26.4</v>
      </c>
      <c r="F2" s="213">
        <v>1.4</v>
      </c>
    </row>
    <row r="3" spans="1:6" ht="17.100000000000001" customHeight="1" x14ac:dyDescent="0.55000000000000004">
      <c r="A3" s="211" t="s">
        <v>178</v>
      </c>
      <c r="B3" s="212" t="s">
        <v>16</v>
      </c>
      <c r="C3" s="212" t="s">
        <v>12</v>
      </c>
      <c r="D3" s="213">
        <v>31.3</v>
      </c>
      <c r="E3" s="213">
        <v>19.3</v>
      </c>
      <c r="F3" s="213">
        <v>1.7</v>
      </c>
    </row>
    <row r="4" spans="1:6" ht="17.100000000000001" customHeight="1" x14ac:dyDescent="0.55000000000000004">
      <c r="A4" s="211" t="s">
        <v>179</v>
      </c>
      <c r="B4" s="212" t="s">
        <v>15</v>
      </c>
      <c r="C4" s="212" t="s">
        <v>12</v>
      </c>
      <c r="D4" s="213">
        <v>28.2</v>
      </c>
      <c r="E4" s="213">
        <v>16.3</v>
      </c>
      <c r="F4" s="213">
        <v>0.4</v>
      </c>
    </row>
    <row r="5" spans="1:6" ht="17.100000000000001" customHeight="1" x14ac:dyDescent="0.55000000000000004">
      <c r="A5" s="211" t="s">
        <v>180</v>
      </c>
      <c r="B5" s="212" t="s">
        <v>181</v>
      </c>
      <c r="C5" s="212" t="s">
        <v>182</v>
      </c>
      <c r="D5" s="213">
        <v>26.6</v>
      </c>
      <c r="E5" s="213">
        <v>14.1</v>
      </c>
      <c r="F5" s="213">
        <v>-0.3</v>
      </c>
    </row>
    <row r="6" spans="1:6" ht="17.100000000000001" customHeight="1" x14ac:dyDescent="0.55000000000000004">
      <c r="A6" s="211" t="s">
        <v>183</v>
      </c>
      <c r="B6" s="212" t="s">
        <v>16</v>
      </c>
      <c r="C6" s="212" t="s">
        <v>12</v>
      </c>
      <c r="D6" s="213">
        <v>26.5</v>
      </c>
      <c r="E6" s="213">
        <v>22.4</v>
      </c>
      <c r="F6" s="213">
        <v>0.5</v>
      </c>
    </row>
    <row r="7" spans="1:6" ht="17.100000000000001" customHeight="1" x14ac:dyDescent="0.55000000000000004">
      <c r="A7" s="211" t="s">
        <v>184</v>
      </c>
      <c r="B7" s="212" t="s">
        <v>16</v>
      </c>
      <c r="C7" s="212" t="s">
        <v>185</v>
      </c>
      <c r="D7" s="213">
        <v>26.2</v>
      </c>
      <c r="E7" s="213">
        <v>16.600000000000001</v>
      </c>
      <c r="F7" s="213">
        <v>1</v>
      </c>
    </row>
    <row r="8" spans="1:6" ht="17.100000000000001" customHeight="1" x14ac:dyDescent="0.55000000000000004">
      <c r="A8" s="211" t="s">
        <v>186</v>
      </c>
      <c r="B8" s="212" t="s">
        <v>181</v>
      </c>
      <c r="C8" s="212" t="s">
        <v>182</v>
      </c>
      <c r="D8" s="213">
        <v>24.9</v>
      </c>
      <c r="E8" s="213">
        <v>27.5</v>
      </c>
      <c r="F8" s="213">
        <v>1.7</v>
      </c>
    </row>
    <row r="9" spans="1:6" ht="17.100000000000001" customHeight="1" x14ac:dyDescent="0.55000000000000004">
      <c r="A9" s="211" t="s">
        <v>187</v>
      </c>
      <c r="B9" s="212" t="s">
        <v>16</v>
      </c>
      <c r="C9" s="212" t="s">
        <v>185</v>
      </c>
      <c r="D9" s="213">
        <v>24.8</v>
      </c>
      <c r="E9" s="213">
        <v>14.6</v>
      </c>
      <c r="F9" s="213">
        <v>0.9</v>
      </c>
    </row>
    <row r="10" spans="1:6" ht="17.100000000000001" customHeight="1" x14ac:dyDescent="0.55000000000000004">
      <c r="A10" s="211" t="s">
        <v>188</v>
      </c>
      <c r="B10" s="212" t="s">
        <v>15</v>
      </c>
      <c r="C10" s="212" t="s">
        <v>12</v>
      </c>
      <c r="D10" s="213">
        <v>22.8</v>
      </c>
      <c r="E10" s="213">
        <v>17.100000000000001</v>
      </c>
      <c r="F10" s="213">
        <v>1.9</v>
      </c>
    </row>
    <row r="11" spans="1:6" ht="17.100000000000001" customHeight="1" x14ac:dyDescent="0.55000000000000004">
      <c r="A11" s="211" t="s">
        <v>189</v>
      </c>
      <c r="B11" s="212" t="s">
        <v>15</v>
      </c>
      <c r="C11" s="212" t="s">
        <v>12</v>
      </c>
      <c r="D11" s="213">
        <v>22.8</v>
      </c>
      <c r="E11" s="213">
        <v>11.4</v>
      </c>
      <c r="F11" s="213">
        <v>-0.5</v>
      </c>
    </row>
    <row r="12" spans="1:6" ht="17.100000000000001" customHeight="1" x14ac:dyDescent="0.55000000000000004">
      <c r="A12" s="211" t="s">
        <v>190</v>
      </c>
      <c r="B12" s="212" t="s">
        <v>15</v>
      </c>
      <c r="C12" s="212" t="s">
        <v>182</v>
      </c>
      <c r="D12" s="213">
        <v>22.5</v>
      </c>
      <c r="E12" s="213">
        <v>11.4</v>
      </c>
      <c r="F12" s="213">
        <v>0.7</v>
      </c>
    </row>
    <row r="13" spans="1:6" ht="17.100000000000001" customHeight="1" x14ac:dyDescent="0.55000000000000004">
      <c r="A13" s="211" t="s">
        <v>191</v>
      </c>
      <c r="B13" s="212" t="s">
        <v>16</v>
      </c>
      <c r="C13" s="212" t="s">
        <v>12</v>
      </c>
      <c r="D13" s="213">
        <v>21.6</v>
      </c>
      <c r="E13" s="213">
        <v>11.8</v>
      </c>
      <c r="F13" s="213">
        <v>0.9</v>
      </c>
    </row>
    <row r="14" spans="1:6" ht="17.100000000000001" customHeight="1" x14ac:dyDescent="0.55000000000000004">
      <c r="A14" s="211" t="s">
        <v>192</v>
      </c>
      <c r="B14" s="212" t="s">
        <v>16</v>
      </c>
      <c r="C14" s="212" t="s">
        <v>12</v>
      </c>
      <c r="D14" s="213">
        <v>21.6</v>
      </c>
      <c r="E14" s="213">
        <v>13.1</v>
      </c>
      <c r="F14" s="213">
        <v>-0.2</v>
      </c>
    </row>
    <row r="15" spans="1:6" ht="17.100000000000001" customHeight="1" x14ac:dyDescent="0.55000000000000004">
      <c r="A15" s="211" t="s">
        <v>193</v>
      </c>
      <c r="B15" s="212" t="s">
        <v>16</v>
      </c>
      <c r="C15" s="212" t="s">
        <v>12</v>
      </c>
      <c r="D15" s="213">
        <v>19.2</v>
      </c>
      <c r="E15" s="213">
        <v>15.4</v>
      </c>
      <c r="F15" s="213">
        <v>0.4</v>
      </c>
    </row>
    <row r="16" spans="1:6" ht="17.100000000000001" customHeight="1" x14ac:dyDescent="0.55000000000000004">
      <c r="A16" s="211" t="s">
        <v>194</v>
      </c>
      <c r="B16" s="212" t="s">
        <v>15</v>
      </c>
      <c r="C16" s="212" t="s">
        <v>12</v>
      </c>
      <c r="D16" s="213">
        <v>18.399999999999999</v>
      </c>
      <c r="E16" s="213">
        <v>12.1</v>
      </c>
      <c r="F16" s="213">
        <v>0.1</v>
      </c>
    </row>
    <row r="17" spans="1:6" ht="17.100000000000001" customHeight="1" x14ac:dyDescent="0.55000000000000004">
      <c r="A17" s="211" t="s">
        <v>195</v>
      </c>
      <c r="B17" s="212" t="s">
        <v>15</v>
      </c>
      <c r="C17" s="212" t="s">
        <v>12</v>
      </c>
      <c r="D17" s="213">
        <v>18.3</v>
      </c>
      <c r="E17" s="213">
        <v>13.7</v>
      </c>
      <c r="F17" s="213">
        <v>1</v>
      </c>
    </row>
    <row r="18" spans="1:6" ht="17.100000000000001" customHeight="1" x14ac:dyDescent="0.55000000000000004">
      <c r="A18" s="211" t="s">
        <v>196</v>
      </c>
      <c r="B18" s="212" t="s">
        <v>15</v>
      </c>
      <c r="C18" s="212" t="s">
        <v>12</v>
      </c>
      <c r="D18" s="213">
        <v>16.399999999999999</v>
      </c>
      <c r="E18" s="213">
        <v>16.399999999999999</v>
      </c>
      <c r="F18" s="213">
        <v>0.7</v>
      </c>
    </row>
    <row r="19" spans="1:6" ht="17.100000000000001" customHeight="1" x14ac:dyDescent="0.55000000000000004">
      <c r="A19" s="211" t="s">
        <v>197</v>
      </c>
      <c r="B19" s="212" t="s">
        <v>15</v>
      </c>
      <c r="C19" s="212" t="s">
        <v>12</v>
      </c>
      <c r="D19" s="213">
        <v>16.3</v>
      </c>
      <c r="E19" s="213">
        <v>14.9</v>
      </c>
      <c r="F19" s="213">
        <v>-0.7</v>
      </c>
    </row>
    <row r="20" spans="1:6" ht="17.100000000000001" customHeight="1" x14ac:dyDescent="0.55000000000000004">
      <c r="A20" s="211" t="s">
        <v>198</v>
      </c>
      <c r="B20" s="212" t="s">
        <v>15</v>
      </c>
      <c r="C20" s="212" t="s">
        <v>182</v>
      </c>
      <c r="D20" s="213">
        <v>16.100000000000001</v>
      </c>
      <c r="E20" s="213">
        <v>11.7</v>
      </c>
      <c r="F20" s="213">
        <v>-0.1</v>
      </c>
    </row>
    <row r="21" spans="1:6" ht="17.100000000000001" customHeight="1" x14ac:dyDescent="0.55000000000000004">
      <c r="A21" s="211" t="s">
        <v>199</v>
      </c>
      <c r="B21" s="212" t="s">
        <v>15</v>
      </c>
      <c r="C21" s="212" t="s">
        <v>12</v>
      </c>
      <c r="D21" s="213">
        <v>14.7</v>
      </c>
      <c r="E21" s="213">
        <v>10.4</v>
      </c>
      <c r="F21" s="213">
        <v>-0.7</v>
      </c>
    </row>
    <row r="22" spans="1:6" ht="17.100000000000001" customHeight="1" x14ac:dyDescent="0.55000000000000004">
      <c r="A22" s="211" t="s">
        <v>200</v>
      </c>
      <c r="B22" s="212"/>
      <c r="C22" s="212"/>
      <c r="D22" s="213">
        <v>13.2</v>
      </c>
      <c r="E22" s="213">
        <v>9.6999999999999993</v>
      </c>
      <c r="F22" s="213">
        <v>0.3</v>
      </c>
    </row>
    <row r="23" spans="1:6" ht="17.100000000000001" customHeight="1" x14ac:dyDescent="0.55000000000000004">
      <c r="A23" s="211" t="s">
        <v>201</v>
      </c>
      <c r="B23" s="212"/>
      <c r="C23" s="212"/>
      <c r="D23" s="213">
        <v>12.7</v>
      </c>
      <c r="E23" s="213">
        <v>11.7</v>
      </c>
      <c r="F23" s="213">
        <v>-0.5</v>
      </c>
    </row>
    <row r="24" spans="1:6" ht="17.100000000000001" customHeight="1" x14ac:dyDescent="0.55000000000000004">
      <c r="A24" s="211" t="s">
        <v>202</v>
      </c>
      <c r="B24" s="212"/>
      <c r="C24" s="212"/>
      <c r="D24" s="213">
        <v>12.4</v>
      </c>
      <c r="E24" s="213">
        <v>15.7</v>
      </c>
      <c r="F24" s="213">
        <v>0.7</v>
      </c>
    </row>
    <row r="25" spans="1:6" ht="17.100000000000001" customHeight="1" x14ac:dyDescent="0.55000000000000004">
      <c r="A25" s="211" t="s">
        <v>203</v>
      </c>
      <c r="B25" s="212"/>
      <c r="C25" s="212"/>
      <c r="D25" s="213">
        <v>11</v>
      </c>
      <c r="E25" s="213">
        <v>10.7</v>
      </c>
      <c r="F25" s="213">
        <v>-0.4</v>
      </c>
    </row>
    <row r="26" spans="1:6" ht="17.100000000000001" customHeight="1" x14ac:dyDescent="0.55000000000000004">
      <c r="A26" s="211" t="s">
        <v>204</v>
      </c>
      <c r="B26" s="212"/>
      <c r="C26" s="212"/>
      <c r="D26" s="213">
        <v>11</v>
      </c>
      <c r="E26" s="213">
        <v>9.1999999999999993</v>
      </c>
      <c r="F26" s="213">
        <v>-0.1</v>
      </c>
    </row>
    <row r="27" spans="1:6" ht="17.100000000000001" customHeight="1" x14ac:dyDescent="0.55000000000000004">
      <c r="A27" s="211" t="s">
        <v>205</v>
      </c>
      <c r="B27" s="212"/>
      <c r="C27" s="212"/>
      <c r="D27" s="213">
        <v>10.8</v>
      </c>
      <c r="E27" s="213">
        <v>12.2</v>
      </c>
      <c r="F27" s="213">
        <v>0.3</v>
      </c>
    </row>
    <row r="28" spans="1:6" ht="17.100000000000001" customHeight="1" x14ac:dyDescent="0.55000000000000004">
      <c r="A28" s="211" t="s">
        <v>206</v>
      </c>
      <c r="B28" s="212"/>
      <c r="C28" s="212"/>
      <c r="D28" s="213">
        <v>10.6</v>
      </c>
      <c r="E28" s="213">
        <v>9.4</v>
      </c>
      <c r="F28" s="213">
        <v>1.4</v>
      </c>
    </row>
    <row r="29" spans="1:6" ht="17.100000000000001" customHeight="1" x14ac:dyDescent="0.55000000000000004">
      <c r="A29" s="211" t="s">
        <v>207</v>
      </c>
      <c r="B29" s="212"/>
      <c r="C29" s="212"/>
      <c r="D29" s="213">
        <v>9.4</v>
      </c>
      <c r="E29" s="213">
        <v>14.4</v>
      </c>
      <c r="F29" s="213">
        <v>0.1</v>
      </c>
    </row>
    <row r="30" spans="1:6" ht="17.100000000000001" customHeight="1" x14ac:dyDescent="0.55000000000000004">
      <c r="A30" s="211" t="s">
        <v>208</v>
      </c>
      <c r="B30" s="212"/>
      <c r="C30" s="212"/>
      <c r="D30" s="213">
        <v>9.3000000000000007</v>
      </c>
      <c r="E30" s="213">
        <v>10.4</v>
      </c>
      <c r="F30" s="213">
        <v>1.7</v>
      </c>
    </row>
    <row r="31" spans="1:6" ht="17.100000000000001" customHeight="1" x14ac:dyDescent="0.55000000000000004">
      <c r="A31" s="211" t="s">
        <v>209</v>
      </c>
      <c r="B31" s="212"/>
      <c r="C31" s="212"/>
      <c r="D31" s="213">
        <v>9.1</v>
      </c>
      <c r="E31" s="213">
        <v>8</v>
      </c>
      <c r="F31" s="213">
        <v>0.3</v>
      </c>
    </row>
    <row r="32" spans="1:6" ht="17.100000000000001" customHeight="1" x14ac:dyDescent="0.55000000000000004">
      <c r="A32" s="211" t="s">
        <v>210</v>
      </c>
      <c r="B32" s="212"/>
      <c r="C32" s="212"/>
      <c r="D32" s="213">
        <v>8.8000000000000007</v>
      </c>
      <c r="E32" s="213">
        <v>6.8</v>
      </c>
      <c r="F32" s="213">
        <v>0.5</v>
      </c>
    </row>
    <row r="33" spans="1:6" ht="17.100000000000001" customHeight="1" x14ac:dyDescent="0.55000000000000004">
      <c r="A33" s="211" t="s">
        <v>211</v>
      </c>
      <c r="B33" s="212"/>
      <c r="C33" s="212"/>
      <c r="D33" s="213">
        <v>8.6</v>
      </c>
      <c r="E33" s="213">
        <v>7.2</v>
      </c>
      <c r="F33" s="213">
        <v>-1</v>
      </c>
    </row>
    <row r="34" spans="1:6" ht="17.100000000000001" customHeight="1" x14ac:dyDescent="0.55000000000000004">
      <c r="A34" s="211" t="s">
        <v>212</v>
      </c>
      <c r="B34" s="212"/>
      <c r="C34" s="212"/>
      <c r="D34" s="213">
        <v>8.3000000000000007</v>
      </c>
      <c r="E34" s="213">
        <v>10.4</v>
      </c>
      <c r="F34" s="213">
        <v>0.4</v>
      </c>
    </row>
    <row r="35" spans="1:6" ht="17.100000000000001" customHeight="1" x14ac:dyDescent="0.55000000000000004">
      <c r="A35" s="211" t="s">
        <v>213</v>
      </c>
      <c r="B35" s="212"/>
      <c r="C35" s="212"/>
      <c r="D35" s="213">
        <v>8.1999999999999993</v>
      </c>
      <c r="E35" s="213">
        <v>8</v>
      </c>
      <c r="F35" s="213">
        <v>-0.4</v>
      </c>
    </row>
    <row r="36" spans="1:6" ht="17.100000000000001" customHeight="1" x14ac:dyDescent="0.55000000000000004">
      <c r="A36" s="211" t="s">
        <v>214</v>
      </c>
      <c r="B36" s="212"/>
      <c r="C36" s="212"/>
      <c r="D36" s="213">
        <v>8</v>
      </c>
      <c r="E36" s="213">
        <v>10.5</v>
      </c>
      <c r="F36" s="213">
        <v>-0.4</v>
      </c>
    </row>
    <row r="37" spans="1:6" ht="17.100000000000001" customHeight="1" x14ac:dyDescent="0.55000000000000004">
      <c r="A37" s="211" t="s">
        <v>215</v>
      </c>
      <c r="B37" s="212"/>
      <c r="C37" s="212"/>
      <c r="D37" s="213">
        <v>7.7</v>
      </c>
      <c r="E37" s="213">
        <v>7.9</v>
      </c>
      <c r="F37" s="213">
        <v>-1.8</v>
      </c>
    </row>
    <row r="38" spans="1:6" ht="17.100000000000001" customHeight="1" x14ac:dyDescent="0.55000000000000004">
      <c r="A38" s="211" t="s">
        <v>216</v>
      </c>
      <c r="B38" s="212"/>
      <c r="C38" s="212"/>
      <c r="D38" s="213">
        <v>7.5</v>
      </c>
      <c r="E38" s="213">
        <v>6.9</v>
      </c>
      <c r="F38" s="213">
        <v>-0.2</v>
      </c>
    </row>
    <row r="39" spans="1:6" ht="17.100000000000001" customHeight="1" x14ac:dyDescent="0.55000000000000004">
      <c r="A39" s="211" t="s">
        <v>217</v>
      </c>
      <c r="B39" s="212"/>
      <c r="C39" s="212"/>
      <c r="D39" s="213">
        <v>6.3</v>
      </c>
      <c r="E39" s="213">
        <v>12.9</v>
      </c>
      <c r="F39" s="213">
        <v>0.6</v>
      </c>
    </row>
    <row r="40" spans="1:6" ht="17.100000000000001" customHeight="1" x14ac:dyDescent="0.55000000000000004">
      <c r="A40" s="211" t="s">
        <v>218</v>
      </c>
      <c r="B40" s="212"/>
      <c r="C40" s="212"/>
      <c r="D40" s="213">
        <v>6.1</v>
      </c>
      <c r="E40" s="213">
        <v>9.1999999999999993</v>
      </c>
      <c r="F40" s="213">
        <v>0.6</v>
      </c>
    </row>
    <row r="41" spans="1:6" ht="17.100000000000001" customHeight="1" x14ac:dyDescent="0.55000000000000004">
      <c r="A41" s="211" t="s">
        <v>219</v>
      </c>
      <c r="B41" s="212"/>
      <c r="C41" s="212"/>
      <c r="D41" s="213">
        <v>5.4</v>
      </c>
      <c r="E41" s="213">
        <v>7.5</v>
      </c>
      <c r="F41" s="213">
        <v>-0.1</v>
      </c>
    </row>
    <row r="42" spans="1:6" ht="17.100000000000001" customHeight="1" x14ac:dyDescent="0.55000000000000004">
      <c r="A42" s="211" t="s">
        <v>220</v>
      </c>
      <c r="B42" s="212"/>
      <c r="C42" s="212"/>
      <c r="D42" s="213">
        <v>4.7</v>
      </c>
      <c r="E42" s="213">
        <v>5.7</v>
      </c>
      <c r="F42" s="213">
        <v>-3.1</v>
      </c>
    </row>
    <row r="43" spans="1:6" ht="17.100000000000001" customHeight="1" x14ac:dyDescent="0.55000000000000004">
      <c r="A43" s="211" t="s">
        <v>221</v>
      </c>
      <c r="B43" s="212"/>
      <c r="C43" s="212"/>
      <c r="D43" s="213">
        <v>4.5999999999999996</v>
      </c>
      <c r="E43" s="213">
        <v>9.9</v>
      </c>
      <c r="F43" s="213">
        <v>0.3</v>
      </c>
    </row>
    <row r="44" spans="1:6" ht="17.100000000000001" customHeight="1" x14ac:dyDescent="0.55000000000000004">
      <c r="A44" s="211" t="s">
        <v>222</v>
      </c>
      <c r="B44" s="212"/>
      <c r="C44" s="212"/>
      <c r="D44" s="213">
        <v>4.3</v>
      </c>
      <c r="E44" s="213">
        <v>5.6</v>
      </c>
      <c r="F44" s="213">
        <v>0.2</v>
      </c>
    </row>
    <row r="45" spans="1:6" ht="17.100000000000001" customHeight="1" x14ac:dyDescent="0.55000000000000004">
      <c r="A45" s="211" t="s">
        <v>223</v>
      </c>
      <c r="B45" s="212"/>
      <c r="C45" s="212"/>
      <c r="D45" s="213">
        <v>4.0999999999999996</v>
      </c>
      <c r="E45" s="213">
        <v>7.1</v>
      </c>
      <c r="F45" s="213">
        <v>-1.5</v>
      </c>
    </row>
    <row r="46" spans="1:6" ht="17.100000000000001" customHeight="1" x14ac:dyDescent="0.55000000000000004">
      <c r="A46" s="211" t="s">
        <v>224</v>
      </c>
      <c r="B46" s="212"/>
      <c r="C46" s="212"/>
      <c r="D46" s="213">
        <v>3.9</v>
      </c>
      <c r="E46" s="213">
        <v>6.8</v>
      </c>
      <c r="F46" s="213">
        <v>-1.1000000000000001</v>
      </c>
    </row>
    <row r="47" spans="1:6" ht="17.100000000000001" customHeight="1" x14ac:dyDescent="0.55000000000000004">
      <c r="A47" s="211" t="s">
        <v>225</v>
      </c>
      <c r="B47" s="212"/>
      <c r="C47" s="212"/>
      <c r="D47" s="213">
        <v>3.5</v>
      </c>
      <c r="E47" s="213">
        <v>7.8</v>
      </c>
      <c r="F47" s="213">
        <v>-0.2</v>
      </c>
    </row>
    <row r="48" spans="1:6" ht="17.100000000000001" customHeight="1" x14ac:dyDescent="0.55000000000000004">
      <c r="A48" s="211" t="s">
        <v>226</v>
      </c>
      <c r="B48" s="212"/>
      <c r="C48" s="212"/>
      <c r="D48" s="213">
        <v>3.3</v>
      </c>
      <c r="E48" s="213">
        <v>3.3</v>
      </c>
      <c r="F48" s="213">
        <v>-0.4</v>
      </c>
    </row>
    <row r="49" spans="1:6" ht="17.100000000000001" customHeight="1" x14ac:dyDescent="0.55000000000000004">
      <c r="A49" s="211" t="s">
        <v>227</v>
      </c>
      <c r="B49" s="212"/>
      <c r="C49" s="212"/>
      <c r="D49" s="213">
        <v>3.2</v>
      </c>
      <c r="E49" s="213">
        <v>8.1</v>
      </c>
      <c r="F49" s="213">
        <v>0.1</v>
      </c>
    </row>
    <row r="50" spans="1:6" ht="17.100000000000001" customHeight="1" x14ac:dyDescent="0.55000000000000004">
      <c r="A50" s="211" t="s">
        <v>228</v>
      </c>
      <c r="B50" s="212"/>
      <c r="C50" s="212"/>
      <c r="D50" s="213">
        <v>3.2</v>
      </c>
      <c r="E50" s="213">
        <v>8.9</v>
      </c>
      <c r="F50" s="213">
        <v>0.3</v>
      </c>
    </row>
    <row r="51" spans="1:6" ht="17.100000000000001" customHeight="1" x14ac:dyDescent="0.55000000000000004">
      <c r="A51" s="211" t="s">
        <v>229</v>
      </c>
      <c r="B51" s="212"/>
      <c r="C51" s="212"/>
      <c r="D51" s="213">
        <v>1.6</v>
      </c>
      <c r="E51" s="213">
        <v>8.1</v>
      </c>
      <c r="F51" s="213">
        <v>0.3</v>
      </c>
    </row>
    <row r="52" spans="1:6" ht="17.100000000000001" customHeight="1" x14ac:dyDescent="0.55000000000000004">
      <c r="A52" s="211" t="s">
        <v>230</v>
      </c>
      <c r="B52" s="212"/>
      <c r="C52" s="212"/>
      <c r="D52" s="213">
        <v>1.1000000000000001</v>
      </c>
      <c r="E52" s="213">
        <v>9.3000000000000007</v>
      </c>
      <c r="F52" s="213">
        <v>0.7</v>
      </c>
    </row>
    <row r="53" spans="1:6" ht="17.100000000000001" customHeight="1" x14ac:dyDescent="0.55000000000000004">
      <c r="A53" s="211" t="s">
        <v>231</v>
      </c>
      <c r="B53" s="212"/>
      <c r="C53" s="212"/>
      <c r="D53" s="213">
        <v>0.4</v>
      </c>
      <c r="E53" s="213">
        <v>3.9</v>
      </c>
      <c r="F53" s="213">
        <v>-0.5</v>
      </c>
    </row>
    <row r="54" spans="1:6" ht="17.100000000000001" customHeight="1" x14ac:dyDescent="0.55000000000000004">
      <c r="A54" s="211" t="s">
        <v>232</v>
      </c>
      <c r="B54" s="212"/>
      <c r="C54" s="212"/>
      <c r="D54" s="213">
        <v>0</v>
      </c>
      <c r="E54" s="213">
        <v>9</v>
      </c>
      <c r="F54" s="213">
        <v>0.7</v>
      </c>
    </row>
    <row r="55" spans="1:6" ht="17.100000000000001" customHeight="1" x14ac:dyDescent="0.55000000000000004">
      <c r="A55" s="211" t="s">
        <v>233</v>
      </c>
      <c r="B55" s="212"/>
      <c r="C55" s="212"/>
      <c r="D55" s="213">
        <v>-0.3</v>
      </c>
      <c r="E55" s="213">
        <v>14.8</v>
      </c>
      <c r="F55" s="213">
        <v>-0.2</v>
      </c>
    </row>
    <row r="56" spans="1:6" ht="17.100000000000001" customHeight="1" x14ac:dyDescent="0.55000000000000004">
      <c r="A56" s="211" t="s">
        <v>234</v>
      </c>
      <c r="B56" s="212"/>
      <c r="C56" s="212"/>
      <c r="D56" s="213">
        <v>-0.5</v>
      </c>
      <c r="E56" s="213">
        <v>4</v>
      </c>
      <c r="F56" s="213">
        <v>-0.8</v>
      </c>
    </row>
    <row r="57" spans="1:6" ht="17.100000000000001" customHeight="1" x14ac:dyDescent="0.55000000000000004">
      <c r="A57" s="211" t="s">
        <v>235</v>
      </c>
      <c r="B57" s="212"/>
      <c r="C57" s="212"/>
      <c r="D57" s="213">
        <v>-3.6</v>
      </c>
      <c r="E57" s="213">
        <v>6.5</v>
      </c>
      <c r="F57" s="213">
        <v>-1.6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0A5C-6FC8-446E-9A78-2415FAF8C767}">
  <dimension ref="A1:S22"/>
  <sheetViews>
    <sheetView topLeftCell="B1" workbookViewId="0">
      <selection activeCell="N10" sqref="N10"/>
    </sheetView>
  </sheetViews>
  <sheetFormatPr defaultRowHeight="14.4" x14ac:dyDescent="0.55000000000000004"/>
  <cols>
    <col min="1" max="1" width="37.5234375" customWidth="1"/>
    <col min="15" max="15" width="16.47265625" customWidth="1"/>
    <col min="16" max="16" width="10.7890625" bestFit="1" customWidth="1"/>
    <col min="17" max="17" width="4.05078125" customWidth="1"/>
    <col min="18" max="18" width="16.47265625" customWidth="1"/>
    <col min="19" max="19" width="10.7890625" bestFit="1" customWidth="1"/>
  </cols>
  <sheetData>
    <row r="1" spans="1:19" x14ac:dyDescent="0.55000000000000004">
      <c r="A1" s="253" t="s">
        <v>148</v>
      </c>
      <c r="B1" s="253" t="s">
        <v>40</v>
      </c>
      <c r="C1" s="253"/>
      <c r="D1" s="253" t="s">
        <v>149</v>
      </c>
      <c r="E1" s="253"/>
      <c r="F1" s="253" t="s">
        <v>150</v>
      </c>
      <c r="G1" s="253"/>
      <c r="I1" s="188" t="s">
        <v>40</v>
      </c>
      <c r="J1" s="188" t="s">
        <v>40</v>
      </c>
    </row>
    <row r="2" spans="1:19" x14ac:dyDescent="0.55000000000000004">
      <c r="A2" s="253"/>
      <c r="B2" s="188" t="s">
        <v>151</v>
      </c>
      <c r="C2" s="188" t="s">
        <v>151</v>
      </c>
      <c r="D2" s="188" t="s">
        <v>151</v>
      </c>
      <c r="E2" s="188" t="s">
        <v>151</v>
      </c>
      <c r="F2" s="188" t="s">
        <v>151</v>
      </c>
      <c r="G2" s="188" t="s">
        <v>151</v>
      </c>
      <c r="I2" s="188" t="s">
        <v>152</v>
      </c>
      <c r="J2" s="189" t="s">
        <v>153</v>
      </c>
    </row>
    <row r="3" spans="1:19" x14ac:dyDescent="0.55000000000000004">
      <c r="A3" s="253"/>
      <c r="B3" s="188">
        <v>2024</v>
      </c>
      <c r="C3" s="188">
        <v>2025</v>
      </c>
      <c r="D3" s="188">
        <v>2024</v>
      </c>
      <c r="E3" s="188">
        <v>2025</v>
      </c>
      <c r="F3" s="188">
        <v>2024</v>
      </c>
      <c r="G3" s="188">
        <v>2025</v>
      </c>
      <c r="I3" s="188">
        <v>2019</v>
      </c>
      <c r="J3" s="190" t="s">
        <v>154</v>
      </c>
    </row>
    <row r="4" spans="1:19" ht="15" customHeight="1" x14ac:dyDescent="0.55000000000000004">
      <c r="A4" s="191" t="s">
        <v>155</v>
      </c>
      <c r="B4" s="252"/>
      <c r="C4" s="252"/>
      <c r="D4" s="252"/>
      <c r="E4" s="252"/>
      <c r="F4" s="252"/>
      <c r="G4" s="252"/>
    </row>
    <row r="5" spans="1:19" ht="15" customHeight="1" x14ac:dyDescent="0.55000000000000004">
      <c r="A5" s="193" t="s">
        <v>156</v>
      </c>
      <c r="B5" s="194">
        <v>48853</v>
      </c>
      <c r="C5" s="194">
        <v>48543</v>
      </c>
      <c r="D5" s="194">
        <v>23792</v>
      </c>
      <c r="E5" s="194">
        <v>23536</v>
      </c>
      <c r="F5" s="194">
        <v>25061</v>
      </c>
      <c r="G5" s="194">
        <v>25007</v>
      </c>
      <c r="I5" s="194">
        <v>42764</v>
      </c>
      <c r="J5" s="194">
        <f t="shared" ref="J5:J12" si="0">+C5-I5</f>
        <v>5779</v>
      </c>
    </row>
    <row r="6" spans="1:19" ht="15" customHeight="1" x14ac:dyDescent="0.55000000000000004">
      <c r="A6" s="195" t="s">
        <v>157</v>
      </c>
      <c r="B6" s="196">
        <v>33049</v>
      </c>
      <c r="C6" s="196">
        <v>32239</v>
      </c>
      <c r="D6" s="196">
        <v>18724</v>
      </c>
      <c r="E6" s="196">
        <v>18362</v>
      </c>
      <c r="F6" s="196">
        <v>14325</v>
      </c>
      <c r="G6" s="196">
        <v>13876</v>
      </c>
      <c r="I6" s="196">
        <v>28153</v>
      </c>
      <c r="J6" s="196">
        <f t="shared" si="0"/>
        <v>4086</v>
      </c>
      <c r="O6" s="247" t="s">
        <v>244</v>
      </c>
      <c r="P6" s="247"/>
      <c r="Q6" s="216"/>
      <c r="R6" s="247" t="s">
        <v>245</v>
      </c>
      <c r="S6" s="247"/>
    </row>
    <row r="7" spans="1:19" ht="28.5" customHeight="1" x14ac:dyDescent="0.55000000000000004">
      <c r="A7" s="197" t="s">
        <v>158</v>
      </c>
      <c r="B7" s="198">
        <v>67.599999999999994</v>
      </c>
      <c r="C7" s="198">
        <v>66.400000000000006</v>
      </c>
      <c r="D7" s="198">
        <v>78.7</v>
      </c>
      <c r="E7" s="198">
        <v>78</v>
      </c>
      <c r="F7" s="198">
        <v>57.2</v>
      </c>
      <c r="G7" s="198">
        <v>55.5</v>
      </c>
      <c r="I7" s="199">
        <v>65.8</v>
      </c>
      <c r="J7" s="199">
        <f t="shared" si="0"/>
        <v>0.60000000000000853</v>
      </c>
      <c r="O7" s="32" t="s">
        <v>242</v>
      </c>
      <c r="P7" s="151" t="s">
        <v>243</v>
      </c>
      <c r="Q7" s="230"/>
      <c r="R7" s="32" t="s">
        <v>242</v>
      </c>
      <c r="S7" s="151" t="s">
        <v>243</v>
      </c>
    </row>
    <row r="8" spans="1:19" ht="15" customHeight="1" x14ac:dyDescent="0.55000000000000004">
      <c r="A8" s="200" t="s">
        <v>159</v>
      </c>
      <c r="B8" s="196">
        <v>31636</v>
      </c>
      <c r="C8" s="196">
        <v>30814</v>
      </c>
      <c r="D8" s="196">
        <v>18075</v>
      </c>
      <c r="E8" s="196">
        <v>17602</v>
      </c>
      <c r="F8" s="196">
        <v>13561</v>
      </c>
      <c r="G8" s="196">
        <v>13212</v>
      </c>
      <c r="I8" s="196">
        <v>27272</v>
      </c>
      <c r="J8" s="196">
        <f t="shared" si="0"/>
        <v>3542</v>
      </c>
      <c r="O8" s="231" t="s">
        <v>246</v>
      </c>
      <c r="P8" s="233">
        <v>165600</v>
      </c>
      <c r="Q8" s="232"/>
      <c r="R8" s="231" t="s">
        <v>251</v>
      </c>
      <c r="S8" s="233">
        <v>-47900</v>
      </c>
    </row>
    <row r="9" spans="1:19" ht="15" customHeight="1" x14ac:dyDescent="0.55000000000000004">
      <c r="A9" s="201" t="s">
        <v>160</v>
      </c>
      <c r="B9" s="198">
        <v>64.8</v>
      </c>
      <c r="C9" s="198">
        <v>63.5</v>
      </c>
      <c r="D9" s="199">
        <v>76</v>
      </c>
      <c r="E9" s="199">
        <v>74.8</v>
      </c>
      <c r="F9" s="199">
        <v>54.1</v>
      </c>
      <c r="G9" s="199">
        <v>52.8</v>
      </c>
      <c r="I9" s="199">
        <v>63.8</v>
      </c>
      <c r="J9" s="199">
        <f t="shared" si="0"/>
        <v>-0.29999999999999716</v>
      </c>
      <c r="O9" s="231" t="s">
        <v>247</v>
      </c>
      <c r="P9" s="233">
        <v>112700</v>
      </c>
      <c r="Q9" s="232"/>
      <c r="R9" s="231" t="s">
        <v>252</v>
      </c>
      <c r="S9" s="233">
        <v>-31500</v>
      </c>
    </row>
    <row r="10" spans="1:19" ht="15" customHeight="1" x14ac:dyDescent="0.55000000000000004">
      <c r="A10" s="200" t="s">
        <v>161</v>
      </c>
      <c r="B10" s="196">
        <v>1413</v>
      </c>
      <c r="C10" s="196">
        <v>1424</v>
      </c>
      <c r="D10" s="192">
        <v>649</v>
      </c>
      <c r="E10" s="192">
        <v>760</v>
      </c>
      <c r="F10" s="192">
        <v>764</v>
      </c>
      <c r="G10" s="192">
        <v>664</v>
      </c>
      <c r="I10" s="196">
        <v>881</v>
      </c>
      <c r="J10" s="196">
        <f t="shared" si="0"/>
        <v>543</v>
      </c>
      <c r="O10" s="231" t="s">
        <v>248</v>
      </c>
      <c r="P10" s="233">
        <v>51600</v>
      </c>
      <c r="Q10" s="232"/>
      <c r="R10" s="231" t="s">
        <v>254</v>
      </c>
      <c r="S10" s="233">
        <v>-19600</v>
      </c>
    </row>
    <row r="11" spans="1:19" ht="15" customHeight="1" x14ac:dyDescent="0.55000000000000004">
      <c r="A11" s="201" t="s">
        <v>162</v>
      </c>
      <c r="B11" s="198">
        <v>4.3</v>
      </c>
      <c r="C11" s="198">
        <v>4.4000000000000004</v>
      </c>
      <c r="D11" s="202">
        <v>3.5</v>
      </c>
      <c r="E11" s="202">
        <v>4.0999999999999996</v>
      </c>
      <c r="F11" s="198">
        <v>5.3</v>
      </c>
      <c r="G11" s="198">
        <v>4.8</v>
      </c>
      <c r="I11" s="198">
        <v>3.1</v>
      </c>
      <c r="J11" s="199">
        <f t="shared" si="0"/>
        <v>1.3000000000000003</v>
      </c>
      <c r="O11" s="231" t="s">
        <v>250</v>
      </c>
      <c r="P11" s="233">
        <v>41900</v>
      </c>
      <c r="Q11" s="232"/>
      <c r="R11" s="231" t="s">
        <v>253</v>
      </c>
      <c r="S11" s="233">
        <v>-18000</v>
      </c>
    </row>
    <row r="12" spans="1:19" ht="15" customHeight="1" x14ac:dyDescent="0.55000000000000004">
      <c r="A12" s="195" t="s">
        <v>163</v>
      </c>
      <c r="B12" s="196">
        <v>15804</v>
      </c>
      <c r="C12" s="196">
        <v>16305</v>
      </c>
      <c r="D12" s="196">
        <v>5068</v>
      </c>
      <c r="E12" s="196">
        <v>5174</v>
      </c>
      <c r="F12" s="196">
        <v>10736</v>
      </c>
      <c r="G12" s="196">
        <v>11131</v>
      </c>
      <c r="I12" s="196">
        <v>14611</v>
      </c>
      <c r="J12" s="196">
        <f t="shared" si="0"/>
        <v>1694</v>
      </c>
      <c r="O12" s="231" t="s">
        <v>249</v>
      </c>
      <c r="P12" s="233">
        <v>41000</v>
      </c>
      <c r="Q12" s="232"/>
      <c r="R12" s="231" t="s">
        <v>255</v>
      </c>
      <c r="S12" s="233">
        <v>-17900</v>
      </c>
    </row>
    <row r="13" spans="1:19" ht="15" customHeight="1" x14ac:dyDescent="0.55000000000000004">
      <c r="A13" s="251"/>
      <c r="B13" s="251"/>
      <c r="C13" s="251"/>
      <c r="D13" s="251"/>
      <c r="E13" s="251"/>
      <c r="F13" s="251"/>
      <c r="G13" s="251"/>
      <c r="H13" s="251"/>
      <c r="I13" s="251"/>
      <c r="J13" s="203"/>
    </row>
    <row r="14" spans="1:19" ht="15" customHeight="1" x14ac:dyDescent="0.55000000000000004">
      <c r="A14" s="191" t="s">
        <v>164</v>
      </c>
      <c r="B14" s="252"/>
      <c r="C14" s="252"/>
      <c r="D14" s="252"/>
      <c r="E14" s="252"/>
      <c r="F14" s="252"/>
      <c r="G14" s="252"/>
    </row>
    <row r="15" spans="1:19" ht="15" customHeight="1" x14ac:dyDescent="0.55000000000000004">
      <c r="A15" s="193" t="s">
        <v>156</v>
      </c>
      <c r="B15" s="194">
        <v>220003</v>
      </c>
      <c r="C15" s="194">
        <v>225458</v>
      </c>
      <c r="D15" s="194">
        <v>107285</v>
      </c>
      <c r="E15" s="194">
        <v>110115</v>
      </c>
      <c r="F15" s="194">
        <v>112718</v>
      </c>
      <c r="G15" s="194">
        <v>115343</v>
      </c>
      <c r="I15" s="194">
        <v>216668</v>
      </c>
      <c r="J15" s="194">
        <f t="shared" ref="J15:J22" si="1">+C15-I15</f>
        <v>8790</v>
      </c>
    </row>
    <row r="16" spans="1:19" ht="15" customHeight="1" x14ac:dyDescent="0.55000000000000004">
      <c r="A16" s="195" t="s">
        <v>157</v>
      </c>
      <c r="B16" s="196">
        <v>135714</v>
      </c>
      <c r="C16" s="196">
        <v>138796</v>
      </c>
      <c r="D16" s="196">
        <v>70414</v>
      </c>
      <c r="E16" s="196">
        <v>72751</v>
      </c>
      <c r="F16" s="196">
        <v>65301</v>
      </c>
      <c r="G16" s="196">
        <v>66045</v>
      </c>
      <c r="I16" s="196">
        <v>135866</v>
      </c>
      <c r="J16" s="196">
        <f t="shared" si="1"/>
        <v>2930</v>
      </c>
    </row>
    <row r="17" spans="1:10" ht="15" customHeight="1" x14ac:dyDescent="0.55000000000000004">
      <c r="A17" s="197" t="s">
        <v>158</v>
      </c>
      <c r="B17" s="198">
        <v>61.7</v>
      </c>
      <c r="C17" s="198">
        <v>61.6</v>
      </c>
      <c r="D17" s="198">
        <v>65.599999999999994</v>
      </c>
      <c r="E17" s="198">
        <v>66.099999999999994</v>
      </c>
      <c r="F17" s="198">
        <v>57.9</v>
      </c>
      <c r="G17" s="198">
        <v>57.3</v>
      </c>
      <c r="I17" s="199">
        <v>60.3</v>
      </c>
      <c r="J17" s="199">
        <f t="shared" si="1"/>
        <v>1.3000000000000043</v>
      </c>
    </row>
    <row r="18" spans="1:10" ht="15" customHeight="1" x14ac:dyDescent="0.55000000000000004">
      <c r="A18" s="200" t="s">
        <v>159</v>
      </c>
      <c r="B18" s="204">
        <v>129712</v>
      </c>
      <c r="C18" s="204">
        <v>132474</v>
      </c>
      <c r="D18" s="196">
        <v>67304</v>
      </c>
      <c r="E18" s="196">
        <v>69592</v>
      </c>
      <c r="F18" s="196">
        <v>62408</v>
      </c>
      <c r="G18" s="196">
        <v>62882</v>
      </c>
      <c r="I18" s="196">
        <v>130545</v>
      </c>
      <c r="J18" s="196">
        <f t="shared" si="1"/>
        <v>1929</v>
      </c>
    </row>
    <row r="19" spans="1:10" ht="15" customHeight="1" x14ac:dyDescent="0.55000000000000004">
      <c r="A19" s="201" t="s">
        <v>160</v>
      </c>
      <c r="B19" s="199">
        <v>59</v>
      </c>
      <c r="C19" s="199">
        <v>58.8</v>
      </c>
      <c r="D19" s="199">
        <v>62.7</v>
      </c>
      <c r="E19" s="199">
        <v>63.2</v>
      </c>
      <c r="F19" s="199">
        <v>55.4</v>
      </c>
      <c r="G19" s="199">
        <v>54.5</v>
      </c>
      <c r="I19" s="199">
        <v>60.3</v>
      </c>
      <c r="J19" s="199">
        <f t="shared" si="1"/>
        <v>-1.5</v>
      </c>
    </row>
    <row r="20" spans="1:10" ht="15" customHeight="1" x14ac:dyDescent="0.55000000000000004">
      <c r="A20" s="200" t="s">
        <v>161</v>
      </c>
      <c r="B20" s="196">
        <v>6002</v>
      </c>
      <c r="C20" s="196">
        <v>6322</v>
      </c>
      <c r="D20" s="196">
        <v>3110</v>
      </c>
      <c r="E20" s="196">
        <v>3159</v>
      </c>
      <c r="F20" s="196">
        <v>2892</v>
      </c>
      <c r="G20" s="196">
        <v>3163</v>
      </c>
      <c r="I20" s="196">
        <v>5322</v>
      </c>
      <c r="J20" s="196">
        <f t="shared" si="1"/>
        <v>1000</v>
      </c>
    </row>
    <row r="21" spans="1:10" ht="15" customHeight="1" x14ac:dyDescent="0.55000000000000004">
      <c r="A21" s="201" t="s">
        <v>162</v>
      </c>
      <c r="B21" s="198">
        <v>4.4000000000000004</v>
      </c>
      <c r="C21" s="198">
        <v>4.5999999999999996</v>
      </c>
      <c r="D21" s="202">
        <v>4.4000000000000004</v>
      </c>
      <c r="E21" s="202">
        <v>4.3</v>
      </c>
      <c r="F21" s="198">
        <v>4.4000000000000004</v>
      </c>
      <c r="G21" s="198">
        <v>4.8</v>
      </c>
      <c r="I21" s="198">
        <v>3.9</v>
      </c>
      <c r="J21" s="199">
        <f t="shared" si="1"/>
        <v>0.69999999999999973</v>
      </c>
    </row>
    <row r="22" spans="1:10" ht="15" customHeight="1" x14ac:dyDescent="0.55000000000000004">
      <c r="A22" s="195" t="s">
        <v>163</v>
      </c>
      <c r="B22" s="196">
        <f>+D22+F22</f>
        <v>84288</v>
      </c>
      <c r="C22" s="196">
        <v>86662</v>
      </c>
      <c r="D22" s="196">
        <v>36871</v>
      </c>
      <c r="E22" s="196">
        <v>37364</v>
      </c>
      <c r="F22" s="196">
        <v>47417</v>
      </c>
      <c r="G22" s="196">
        <v>49298</v>
      </c>
      <c r="I22" s="196">
        <v>80802</v>
      </c>
      <c r="J22" s="196">
        <f t="shared" si="1"/>
        <v>5860</v>
      </c>
    </row>
  </sheetData>
  <mergeCells count="10">
    <mergeCell ref="O6:P6"/>
    <mergeCell ref="R6:S6"/>
    <mergeCell ref="H13:I13"/>
    <mergeCell ref="B14:G14"/>
    <mergeCell ref="A1:A3"/>
    <mergeCell ref="B1:C1"/>
    <mergeCell ref="D1:E1"/>
    <mergeCell ref="F1:G1"/>
    <mergeCell ref="B4:G4"/>
    <mergeCell ref="A13:G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555F0-8AF4-4B54-A93C-8FCF8BD54CEE}">
  <dimension ref="A1:H22"/>
  <sheetViews>
    <sheetView workbookViewId="0">
      <selection activeCell="F16" sqref="F16"/>
    </sheetView>
  </sheetViews>
  <sheetFormatPr defaultRowHeight="14.4" x14ac:dyDescent="0.55000000000000004"/>
  <cols>
    <col min="1" max="1" width="17.1015625" customWidth="1"/>
    <col min="4" max="4" width="9.1015625" bestFit="1" customWidth="1"/>
    <col min="5" max="5" width="4.41796875" customWidth="1"/>
    <col min="6" max="6" width="40" customWidth="1"/>
    <col min="7" max="7" width="17.26171875" customWidth="1"/>
  </cols>
  <sheetData>
    <row r="1" spans="1:8" x14ac:dyDescent="0.55000000000000004">
      <c r="A1" s="3" t="s">
        <v>33</v>
      </c>
    </row>
    <row r="2" spans="1:8" x14ac:dyDescent="0.55000000000000004">
      <c r="A2" s="3" t="s">
        <v>61</v>
      </c>
    </row>
    <row r="4" spans="1:8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8" x14ac:dyDescent="0.55000000000000004">
      <c r="A5" t="s">
        <v>6</v>
      </c>
      <c r="B5" s="1" t="s">
        <v>7</v>
      </c>
      <c r="C5" s="30">
        <v>119532</v>
      </c>
      <c r="D5" s="31">
        <v>0.28179999999999999</v>
      </c>
      <c r="E5" s="33"/>
      <c r="G5" s="2">
        <v>120128</v>
      </c>
      <c r="H5" s="37">
        <f>+G5/C5-1</f>
        <v>4.9861125054377897E-3</v>
      </c>
    </row>
    <row r="6" spans="1:8" x14ac:dyDescent="0.55000000000000004">
      <c r="A6" t="s">
        <v>2</v>
      </c>
      <c r="B6" s="1" t="s">
        <v>3</v>
      </c>
      <c r="C6" s="30">
        <v>110996.3</v>
      </c>
      <c r="D6" s="31">
        <v>0.27250000000000002</v>
      </c>
      <c r="E6" s="33"/>
      <c r="G6" s="2">
        <v>111174</v>
      </c>
      <c r="H6" s="37">
        <f t="shared" ref="H6:H20" si="0">+G6/C6-1</f>
        <v>1.6009542660431197E-3</v>
      </c>
    </row>
    <row r="7" spans="1:8" x14ac:dyDescent="0.55000000000000004">
      <c r="A7" t="s">
        <v>8</v>
      </c>
      <c r="B7" s="1" t="s">
        <v>9</v>
      </c>
      <c r="C7" s="30">
        <v>76198</v>
      </c>
      <c r="D7" s="31">
        <v>0.22539999999999999</v>
      </c>
      <c r="E7" s="33"/>
      <c r="G7" s="2">
        <v>76321</v>
      </c>
      <c r="H7" s="37">
        <f t="shared" si="0"/>
        <v>1.6142155962097782E-3</v>
      </c>
    </row>
    <row r="8" spans="1:8" x14ac:dyDescent="0.55000000000000004">
      <c r="A8" t="s">
        <v>66</v>
      </c>
      <c r="B8" s="1" t="s">
        <v>68</v>
      </c>
      <c r="C8" s="30">
        <v>64451</v>
      </c>
      <c r="D8" s="31">
        <v>0.2054</v>
      </c>
      <c r="E8" s="33"/>
      <c r="F8" t="s">
        <v>25</v>
      </c>
      <c r="G8" s="2">
        <v>64694</v>
      </c>
      <c r="H8" s="37">
        <f t="shared" si="0"/>
        <v>3.7703061240321745E-3</v>
      </c>
    </row>
    <row r="9" spans="1:8" x14ac:dyDescent="0.55000000000000004">
      <c r="A9" t="s">
        <v>67</v>
      </c>
      <c r="B9" s="1" t="s">
        <v>4</v>
      </c>
      <c r="C9" s="30">
        <v>49803</v>
      </c>
      <c r="D9" s="31">
        <v>0.1789</v>
      </c>
      <c r="E9" s="33"/>
      <c r="G9" s="2">
        <v>50587</v>
      </c>
      <c r="H9" s="37">
        <f t="shared" si="0"/>
        <v>1.5742023572877129E-2</v>
      </c>
    </row>
    <row r="10" spans="1:8" x14ac:dyDescent="0.55000000000000004">
      <c r="A10" t="s">
        <v>14</v>
      </c>
      <c r="B10" s="1" t="s">
        <v>19</v>
      </c>
      <c r="C10" s="30">
        <v>48753</v>
      </c>
      <c r="D10" s="31">
        <v>0.17100000000000001</v>
      </c>
      <c r="E10" s="33"/>
      <c r="G10" s="2">
        <v>48274</v>
      </c>
      <c r="H10" s="37">
        <f t="shared" si="0"/>
        <v>-9.8250364080159081E-3</v>
      </c>
    </row>
    <row r="11" spans="1:8" x14ac:dyDescent="0.55000000000000004">
      <c r="A11" t="s">
        <v>16</v>
      </c>
      <c r="B11" s="1" t="s">
        <v>21</v>
      </c>
      <c r="C11" s="30">
        <v>28993</v>
      </c>
      <c r="D11" s="31">
        <v>0.1124</v>
      </c>
      <c r="E11" s="33"/>
      <c r="G11" s="2">
        <v>28841</v>
      </c>
      <c r="H11" s="37">
        <f t="shared" si="0"/>
        <v>-5.2426447763253003E-3</v>
      </c>
    </row>
    <row r="12" spans="1:8" x14ac:dyDescent="0.55000000000000004">
      <c r="A12" t="s">
        <v>15</v>
      </c>
      <c r="B12" s="1" t="s">
        <v>20</v>
      </c>
      <c r="C12" s="30">
        <v>20641</v>
      </c>
      <c r="D12" s="31">
        <v>7.5200000000000003E-2</v>
      </c>
      <c r="E12" s="33"/>
      <c r="G12" s="2">
        <v>20795</v>
      </c>
      <c r="H12" s="37">
        <f t="shared" si="0"/>
        <v>7.4608788333898612E-3</v>
      </c>
    </row>
    <row r="13" spans="1:8" x14ac:dyDescent="0.55000000000000004">
      <c r="A13" t="s">
        <v>51</v>
      </c>
      <c r="B13" s="1" t="s">
        <v>50</v>
      </c>
      <c r="C13" s="30">
        <v>15038</v>
      </c>
      <c r="D13" s="31">
        <v>4.9200000000000001E-2</v>
      </c>
      <c r="E13" s="33"/>
      <c r="F13" t="s">
        <v>53</v>
      </c>
      <c r="G13" s="2">
        <v>15107</v>
      </c>
      <c r="H13" s="37">
        <f t="shared" si="0"/>
        <v>4.5883761138449941E-3</v>
      </c>
    </row>
    <row r="14" spans="1:8" x14ac:dyDescent="0.55000000000000004">
      <c r="A14" t="s">
        <v>13</v>
      </c>
      <c r="B14" s="1" t="s">
        <v>18</v>
      </c>
      <c r="C14" s="30">
        <v>12438.7</v>
      </c>
      <c r="D14" s="31">
        <v>2.2100000000000002E-2</v>
      </c>
      <c r="E14" s="33"/>
      <c r="G14" s="2">
        <v>12478</v>
      </c>
      <c r="H14" s="37">
        <f t="shared" si="0"/>
        <v>3.1594941593573456E-3</v>
      </c>
    </row>
    <row r="15" spans="1:8" x14ac:dyDescent="0.55000000000000004">
      <c r="A15" t="s">
        <v>12</v>
      </c>
      <c r="B15" s="1" t="s">
        <v>17</v>
      </c>
      <c r="C15" s="30">
        <v>11404</v>
      </c>
      <c r="D15" s="31">
        <v>1.32E-2</v>
      </c>
      <c r="E15" s="33"/>
      <c r="G15" s="2">
        <v>11575</v>
      </c>
      <c r="H15" s="37">
        <f t="shared" si="0"/>
        <v>1.4994738688179687E-2</v>
      </c>
    </row>
    <row r="16" spans="1:8" x14ac:dyDescent="0.55000000000000004">
      <c r="A16" t="s">
        <v>64</v>
      </c>
      <c r="B16" s="1" t="s">
        <v>65</v>
      </c>
      <c r="C16" s="30">
        <v>6881</v>
      </c>
      <c r="D16" s="31">
        <v>-3.6799999999999999E-2</v>
      </c>
      <c r="E16" s="33"/>
      <c r="G16" s="2">
        <v>6747</v>
      </c>
      <c r="H16" s="37">
        <f t="shared" si="0"/>
        <v>-1.9473913675337906E-2</v>
      </c>
    </row>
    <row r="17" spans="1:8" x14ac:dyDescent="0.55000000000000004">
      <c r="A17" t="s">
        <v>62</v>
      </c>
      <c r="B17" s="1" t="s">
        <v>63</v>
      </c>
      <c r="C17" s="30">
        <v>5553</v>
      </c>
      <c r="D17" s="31">
        <v>-5.7299999999999997E-2</v>
      </c>
      <c r="E17" s="33"/>
      <c r="G17" s="2">
        <v>5730</v>
      </c>
      <c r="H17" s="37">
        <f t="shared" si="0"/>
        <v>3.1874662344678617E-2</v>
      </c>
    </row>
    <row r="18" spans="1:8" x14ac:dyDescent="0.55000000000000004">
      <c r="A18" t="s">
        <v>55</v>
      </c>
      <c r="B18" s="1" t="s">
        <v>56</v>
      </c>
      <c r="C18" s="30">
        <v>1236</v>
      </c>
      <c r="D18" s="31">
        <v>-0.18870000000000001</v>
      </c>
      <c r="E18" s="34"/>
      <c r="G18" s="2">
        <v>1197</v>
      </c>
      <c r="H18" s="37">
        <f t="shared" si="0"/>
        <v>-3.1553398058252413E-2</v>
      </c>
    </row>
    <row r="19" spans="1:8" x14ac:dyDescent="0.55000000000000004">
      <c r="A19" t="s">
        <v>59</v>
      </c>
      <c r="B19" s="1" t="s">
        <v>60</v>
      </c>
      <c r="C19" s="30">
        <v>914</v>
      </c>
      <c r="D19" s="31">
        <v>-0.21279999999999999</v>
      </c>
      <c r="E19" s="34"/>
      <c r="G19" s="2">
        <v>1000</v>
      </c>
      <c r="H19" s="37">
        <f t="shared" si="0"/>
        <v>9.4091903719912384E-2</v>
      </c>
    </row>
    <row r="20" spans="1:8" x14ac:dyDescent="0.55000000000000004">
      <c r="A20" t="s">
        <v>71</v>
      </c>
      <c r="B20" s="1" t="s">
        <v>57</v>
      </c>
      <c r="C20" s="30">
        <v>1258</v>
      </c>
      <c r="D20" s="31">
        <v>-0.27449999999999997</v>
      </c>
      <c r="E20" s="34"/>
      <c r="F20" t="s">
        <v>58</v>
      </c>
      <c r="G20" s="2">
        <v>1107</v>
      </c>
      <c r="H20" s="37">
        <f t="shared" si="0"/>
        <v>-0.12003179650238471</v>
      </c>
    </row>
    <row r="22" spans="1:8" x14ac:dyDescent="0.55000000000000004">
      <c r="A22" s="35" t="s">
        <v>69</v>
      </c>
      <c r="B22" s="168" t="s">
        <v>70</v>
      </c>
    </row>
  </sheetData>
  <hyperlinks>
    <hyperlink ref="B22" r:id="rId1" xr:uid="{CF09BEA9-6730-4F07-A2BE-183EAB017D7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00810-E7DC-48FA-B19D-5095F73215AF}">
  <dimension ref="A1:K23"/>
  <sheetViews>
    <sheetView workbookViewId="0">
      <selection activeCell="E26" sqref="E26"/>
    </sheetView>
  </sheetViews>
  <sheetFormatPr defaultRowHeight="14.4" x14ac:dyDescent="0.55000000000000004"/>
  <cols>
    <col min="1" max="1" width="17.1015625" customWidth="1"/>
    <col min="4" max="4" width="9.1015625" bestFit="1" customWidth="1"/>
    <col min="5" max="5" width="4.41796875" customWidth="1"/>
    <col min="6" max="6" width="40" customWidth="1"/>
    <col min="7" max="7" width="17.26171875" customWidth="1"/>
  </cols>
  <sheetData>
    <row r="1" spans="1:11" x14ac:dyDescent="0.55000000000000004">
      <c r="A1" s="3" t="s">
        <v>33</v>
      </c>
    </row>
    <row r="2" spans="1:11" x14ac:dyDescent="0.55000000000000004">
      <c r="A2" s="3" t="s">
        <v>131</v>
      </c>
    </row>
    <row r="4" spans="1:11" x14ac:dyDescent="0.55000000000000004">
      <c r="A4" s="36" t="s">
        <v>48</v>
      </c>
      <c r="B4" s="36" t="s">
        <v>1</v>
      </c>
      <c r="C4" s="36" t="s">
        <v>49</v>
      </c>
      <c r="D4" s="36" t="s">
        <v>54</v>
      </c>
      <c r="E4" s="36"/>
      <c r="F4" s="36" t="s">
        <v>52</v>
      </c>
      <c r="G4" s="32" t="s">
        <v>72</v>
      </c>
      <c r="H4" s="36" t="s">
        <v>73</v>
      </c>
    </row>
    <row r="5" spans="1:11" x14ac:dyDescent="0.55000000000000004">
      <c r="A5" t="s">
        <v>8</v>
      </c>
      <c r="B5" s="1" t="s">
        <v>9</v>
      </c>
      <c r="C5" s="30">
        <v>140374</v>
      </c>
      <c r="D5" s="31">
        <v>0.3024</v>
      </c>
      <c r="E5" s="33"/>
      <c r="G5" s="2">
        <v>142154</v>
      </c>
      <c r="H5" s="37">
        <f t="shared" ref="H5:H20" si="0">+G5/C5-1</f>
        <v>1.2680410902303763E-2</v>
      </c>
    </row>
    <row r="6" spans="1:11" x14ac:dyDescent="0.55000000000000004">
      <c r="A6" t="s">
        <v>6</v>
      </c>
      <c r="B6" s="1" t="s">
        <v>7</v>
      </c>
      <c r="C6" s="30">
        <v>105835</v>
      </c>
      <c r="D6" s="31">
        <v>0.26629999999999998</v>
      </c>
      <c r="E6" s="33"/>
      <c r="G6" s="2">
        <v>104998</v>
      </c>
      <c r="H6" s="37">
        <f t="shared" si="0"/>
        <v>-7.9085368734350681E-3</v>
      </c>
    </row>
    <row r="7" spans="1:11" x14ac:dyDescent="0.55000000000000004">
      <c r="A7" t="s">
        <v>2</v>
      </c>
      <c r="B7" s="1" t="s">
        <v>3</v>
      </c>
      <c r="C7" s="30">
        <v>100937</v>
      </c>
      <c r="D7" s="31">
        <v>0.2601</v>
      </c>
      <c r="E7" s="33"/>
      <c r="G7" s="2">
        <v>102860.14</v>
      </c>
      <c r="H7" s="37">
        <f t="shared" si="0"/>
        <v>1.9052874565322897E-2</v>
      </c>
    </row>
    <row r="8" spans="1:11" x14ac:dyDescent="0.55000000000000004">
      <c r="A8" t="s">
        <v>14</v>
      </c>
      <c r="B8" s="1" t="s">
        <v>19</v>
      </c>
      <c r="C8" s="30">
        <v>83009.31</v>
      </c>
      <c r="D8" s="31">
        <v>0.23569999999999999</v>
      </c>
      <c r="E8" s="33"/>
      <c r="G8" s="2">
        <v>82388</v>
      </c>
      <c r="H8" s="37">
        <f t="shared" si="0"/>
        <v>-7.4848230879162037E-3</v>
      </c>
    </row>
    <row r="9" spans="1:11" x14ac:dyDescent="0.55000000000000004">
      <c r="A9" t="s">
        <v>66</v>
      </c>
      <c r="B9" s="1" t="s">
        <v>68</v>
      </c>
      <c r="C9" s="30">
        <v>74796</v>
      </c>
      <c r="D9" s="31">
        <v>0.22289999999999999</v>
      </c>
      <c r="E9" s="33"/>
      <c r="F9" t="s">
        <v>25</v>
      </c>
      <c r="G9" s="2">
        <v>74903</v>
      </c>
      <c r="H9" s="37">
        <f t="shared" si="0"/>
        <v>1.4305577838387151E-3</v>
      </c>
    </row>
    <row r="10" spans="1:11" x14ac:dyDescent="0.55000000000000004">
      <c r="A10" t="s">
        <v>67</v>
      </c>
      <c r="B10" s="1" t="s">
        <v>4</v>
      </c>
      <c r="C10" s="30">
        <v>72256</v>
      </c>
      <c r="D10" s="31">
        <v>0.21870000000000001</v>
      </c>
      <c r="E10" s="33"/>
      <c r="G10" s="2">
        <v>73026</v>
      </c>
      <c r="H10" s="37">
        <f t="shared" si="0"/>
        <v>1.0656554472984858E-2</v>
      </c>
    </row>
    <row r="11" spans="1:11" x14ac:dyDescent="0.55000000000000004">
      <c r="A11" t="s">
        <v>16</v>
      </c>
      <c r="B11" s="1" t="s">
        <v>21</v>
      </c>
      <c r="C11" s="30">
        <v>20496.919999999998</v>
      </c>
      <c r="D11" s="31">
        <v>7.4399999999999994E-2</v>
      </c>
      <c r="E11" s="33"/>
      <c r="G11" s="2">
        <v>20595</v>
      </c>
      <c r="H11" s="37">
        <f t="shared" si="0"/>
        <v>4.7851091773789545E-3</v>
      </c>
    </row>
    <row r="12" spans="1:11" x14ac:dyDescent="0.55000000000000004">
      <c r="A12" t="s">
        <v>12</v>
      </c>
      <c r="B12" s="1" t="s">
        <v>17</v>
      </c>
      <c r="C12" s="30">
        <v>16279.01</v>
      </c>
      <c r="D12" s="31">
        <v>4.99E-2</v>
      </c>
      <c r="E12" s="33"/>
      <c r="G12" s="2">
        <v>16276</v>
      </c>
      <c r="H12" s="37">
        <f t="shared" si="0"/>
        <v>-1.8490067884968653E-4</v>
      </c>
    </row>
    <row r="13" spans="1:11" x14ac:dyDescent="0.55000000000000004">
      <c r="A13" t="s">
        <v>15</v>
      </c>
      <c r="B13" s="1" t="s">
        <v>20</v>
      </c>
      <c r="C13" s="30">
        <v>16070</v>
      </c>
      <c r="D13" s="31">
        <v>4.8599999999999997E-2</v>
      </c>
      <c r="E13" s="33"/>
      <c r="G13" s="2">
        <v>16245</v>
      </c>
      <c r="H13" s="37">
        <f t="shared" si="0"/>
        <v>1.0889856876166837E-2</v>
      </c>
      <c r="K13" t="s">
        <v>25</v>
      </c>
    </row>
    <row r="14" spans="1:11" x14ac:dyDescent="0.55000000000000004">
      <c r="A14" t="s">
        <v>13</v>
      </c>
      <c r="B14" s="1" t="s">
        <v>18</v>
      </c>
      <c r="C14" s="30">
        <v>14066.53</v>
      </c>
      <c r="D14" s="31">
        <v>3.4700000000000002E-2</v>
      </c>
      <c r="E14" s="33"/>
      <c r="G14" s="2">
        <v>14107</v>
      </c>
      <c r="H14" s="37">
        <f t="shared" si="0"/>
        <v>2.8770421703148141E-3</v>
      </c>
    </row>
    <row r="15" spans="1:11" x14ac:dyDescent="0.55000000000000004">
      <c r="A15" t="s">
        <v>51</v>
      </c>
      <c r="B15" s="1" t="s">
        <v>50</v>
      </c>
      <c r="C15" s="30">
        <v>8985.2000000000007</v>
      </c>
      <c r="D15" s="31">
        <v>-1.12E-2</v>
      </c>
      <c r="E15" s="33"/>
      <c r="F15" t="s">
        <v>53</v>
      </c>
      <c r="G15" s="2">
        <v>10125</v>
      </c>
      <c r="H15" s="37">
        <f t="shared" si="0"/>
        <v>0.12685304723322788</v>
      </c>
    </row>
    <row r="16" spans="1:11" x14ac:dyDescent="0.55000000000000004">
      <c r="A16" t="s">
        <v>64</v>
      </c>
      <c r="B16" s="1" t="s">
        <v>65</v>
      </c>
      <c r="C16" s="30">
        <v>8879.9599999999991</v>
      </c>
      <c r="D16" s="31">
        <v>-1.18E-2</v>
      </c>
      <c r="E16" s="33"/>
      <c r="G16" s="2">
        <v>8571</v>
      </c>
      <c r="H16" s="37">
        <f t="shared" si="0"/>
        <v>-3.479294951779055E-2</v>
      </c>
    </row>
    <row r="17" spans="1:11" x14ac:dyDescent="0.55000000000000004">
      <c r="A17" t="s">
        <v>132</v>
      </c>
      <c r="B17" s="1" t="s">
        <v>133</v>
      </c>
      <c r="C17" s="30">
        <v>8639.08</v>
      </c>
      <c r="D17" s="31">
        <v>-1.4500000000000001E-2</v>
      </c>
      <c r="E17" s="34"/>
      <c r="G17" s="2">
        <v>5425</v>
      </c>
      <c r="H17" s="37">
        <f t="shared" si="0"/>
        <v>-0.3720396153294101</v>
      </c>
    </row>
    <row r="18" spans="1:11" x14ac:dyDescent="0.55000000000000004">
      <c r="A18" t="s">
        <v>62</v>
      </c>
      <c r="B18" s="1" t="s">
        <v>63</v>
      </c>
      <c r="C18" s="30">
        <v>7317.53</v>
      </c>
      <c r="D18" s="31">
        <v>-3.0800000000000001E-2</v>
      </c>
      <c r="E18" s="33"/>
      <c r="G18" s="2">
        <v>7156</v>
      </c>
      <c r="H18" s="37">
        <f t="shared" si="0"/>
        <v>-2.2074388489011998E-2</v>
      </c>
    </row>
    <row r="19" spans="1:11" x14ac:dyDescent="0.55000000000000004">
      <c r="A19" t="s">
        <v>55</v>
      </c>
      <c r="B19" s="1" t="s">
        <v>56</v>
      </c>
      <c r="C19" s="30">
        <v>2662.9</v>
      </c>
      <c r="D19" s="31">
        <v>-0.1239</v>
      </c>
      <c r="E19" s="34"/>
      <c r="G19" s="2">
        <v>2623</v>
      </c>
      <c r="H19" s="37">
        <f t="shared" si="0"/>
        <v>-1.4983664426001742E-2</v>
      </c>
    </row>
    <row r="20" spans="1:11" x14ac:dyDescent="0.55000000000000004">
      <c r="A20" t="s">
        <v>71</v>
      </c>
      <c r="B20" s="1" t="s">
        <v>57</v>
      </c>
      <c r="C20" s="30">
        <v>932.68</v>
      </c>
      <c r="D20" s="31">
        <v>-0.27100000000000002</v>
      </c>
      <c r="E20" s="34"/>
      <c r="F20" t="s">
        <v>58</v>
      </c>
      <c r="G20" s="2">
        <v>821.44</v>
      </c>
      <c r="H20" s="37">
        <f t="shared" si="0"/>
        <v>-0.11926920272762354</v>
      </c>
      <c r="K20" s="37" t="s">
        <v>25</v>
      </c>
    </row>
    <row r="22" spans="1:11" x14ac:dyDescent="0.55000000000000004">
      <c r="A22" s="35" t="s">
        <v>69</v>
      </c>
      <c r="B22" s="168" t="s">
        <v>70</v>
      </c>
    </row>
    <row r="23" spans="1:11" x14ac:dyDescent="0.55000000000000004">
      <c r="A23" s="35" t="s">
        <v>69</v>
      </c>
      <c r="B23" s="168" t="s">
        <v>134</v>
      </c>
    </row>
  </sheetData>
  <sortState xmlns:xlrd2="http://schemas.microsoft.com/office/spreadsheetml/2017/richdata2" ref="A5:H20">
    <sortCondition descending="1" ref="D5:D20"/>
  </sortState>
  <hyperlinks>
    <hyperlink ref="B22" r:id="rId1" xr:uid="{BED97780-A6C9-42AF-BB14-1240D1ACBA54}"/>
    <hyperlink ref="B23" r:id="rId2" xr:uid="{E00F900F-8D09-4C3E-ABFF-6409DDC380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</vt:lpstr>
      <vt:lpstr>net debt fab five</vt:lpstr>
      <vt:lpstr>Mobile net adds cable</vt:lpstr>
      <vt:lpstr>Schedule 1</vt:lpstr>
      <vt:lpstr>Earnings Q2</vt:lpstr>
      <vt:lpstr>fastest growing metro areas</vt:lpstr>
      <vt:lpstr>employment data</vt:lpstr>
      <vt:lpstr>10 yr return 2013-2023</vt:lpstr>
      <vt:lpstr>10 yr return 2014-2024</vt:lpstr>
      <vt:lpstr>summary!Print_Area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James Patterson</cp:lastModifiedBy>
  <cp:lastPrinted>2023-11-23T15:33:21Z</cp:lastPrinted>
  <dcterms:created xsi:type="dcterms:W3CDTF">2020-02-03T14:12:32Z</dcterms:created>
  <dcterms:modified xsi:type="dcterms:W3CDTF">2026-09-05T22:18:57Z</dcterms:modified>
</cp:coreProperties>
</file>